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371" windowWidth="19380" windowHeight="8400" tabRatio="836" activeTab="2"/>
  </bookViews>
  <sheets>
    <sheet name="Sheet1" sheetId="1" r:id="rId1"/>
    <sheet name="Summary" sheetId="2" r:id="rId2"/>
    <sheet name="Operating" sheetId="3" r:id="rId3"/>
    <sheet name="Septic" sheetId="4" r:id="rId4"/>
    <sheet name="Roads" sheetId="5" r:id="rId5"/>
    <sheet name="CH" sheetId="6" r:id="rId6"/>
    <sheet name="Equipment" sheetId="7" r:id="rId7"/>
    <sheet name="Contingency" sheetId="8" r:id="rId8"/>
    <sheet name="Improvements" sheetId="9" r:id="rId9"/>
    <sheet name="Fees" sheetId="10" r:id="rId10"/>
    <sheet name="Charts" sheetId="11" r:id="rId11"/>
  </sheets>
  <definedNames>
    <definedName name="CurrentYear">'Septic'!$I$22</definedName>
    <definedName name="inflation">'Septic'!$C$20</definedName>
    <definedName name="intrate">'Septic'!$C$22</definedName>
    <definedName name="_xlnm.Print_Area" localSheetId="6">'Equipment'!$A$1:$O$130</definedName>
    <definedName name="_xlnm.Print_Area" localSheetId="9">'Fees'!$A$2:$J$111</definedName>
    <definedName name="_xlnm.Print_Area" localSheetId="2">'Operating'!$A$1:$AH$57</definedName>
    <definedName name="_xlnm.Print_Area" localSheetId="3">'Septic'!$A$1:$O$87</definedName>
    <definedName name="_xlnm.Print_Area" localSheetId="1">'Summary'!$A$1:$J$46</definedName>
    <definedName name="unnamed">'Fees'!$B$83:$B$106</definedName>
  </definedNames>
  <calcPr fullCalcOnLoad="1"/>
</workbook>
</file>

<file path=xl/comments4.xml><?xml version="1.0" encoding="utf-8"?>
<comments xmlns="http://schemas.openxmlformats.org/spreadsheetml/2006/main">
  <authors>
    <author>Alison Truesdale</author>
    <author>Zeke Holland</author>
  </authors>
  <commentList>
    <comment ref="H4" authorId="0">
      <text>
        <r>
          <rPr>
            <b/>
            <sz val="8"/>
            <rFont val="Tahoma"/>
            <family val="0"/>
          </rPr>
          <t>Alison Truesdale:</t>
        </r>
        <r>
          <rPr>
            <sz val="8"/>
            <rFont val="Tahoma"/>
            <family val="0"/>
          </rPr>
          <t xml:space="preserve">
4800 = gallons/day
4 = # of bedrooms
90 = # of chambers???</t>
        </r>
      </text>
    </comment>
    <comment ref="E25" authorId="0">
      <text>
        <r>
          <rPr>
            <sz val="8"/>
            <rFont val="Tahoma"/>
            <family val="0"/>
          </rPr>
          <t>lifespan of leach beds = 20
conduit, site work = 20
tanks = 40
These lifespans figured/guessed from start of 2005, so 8 yrs added to compute "future cost" from 1996 cost.</t>
        </r>
      </text>
    </comment>
    <comment ref="B10" authorId="1">
      <text>
        <r>
          <rPr>
            <sz val="8"/>
            <rFont val="Tahoma"/>
            <family val="0"/>
          </rPr>
          <t>Pumps are covered by Equipment Reserve</t>
        </r>
      </text>
    </comment>
  </commentList>
</comments>
</file>

<file path=xl/sharedStrings.xml><?xml version="1.0" encoding="utf-8"?>
<sst xmlns="http://schemas.openxmlformats.org/spreadsheetml/2006/main" count="814" uniqueCount="549">
  <si>
    <t>NOTES</t>
  </si>
  <si>
    <t>Maintenance</t>
  </si>
  <si>
    <t>Mowing</t>
  </si>
  <si>
    <t>Sub-Total</t>
  </si>
  <si>
    <t>Administration</t>
  </si>
  <si>
    <t xml:space="preserve"> </t>
  </si>
  <si>
    <t>Insurance</t>
  </si>
  <si>
    <t>Coordinators</t>
  </si>
  <si>
    <t>TOTAL INCOME</t>
  </si>
  <si>
    <t>Resident</t>
  </si>
  <si>
    <t>Non-Resident</t>
  </si>
  <si>
    <t>Totals</t>
  </si>
  <si>
    <t>Baribault</t>
  </si>
  <si>
    <t>Doehring</t>
  </si>
  <si>
    <t>Freshley</t>
  </si>
  <si>
    <t>Libby</t>
  </si>
  <si>
    <t>Lincoln</t>
  </si>
  <si>
    <t>Prescott</t>
  </si>
  <si>
    <t>Totals</t>
  </si>
  <si>
    <t>Residents</t>
  </si>
  <si>
    <t>Non-Residents</t>
  </si>
  <si>
    <t>Operating Budget</t>
  </si>
  <si>
    <t xml:space="preserve"> OPERATING
EXPENSES</t>
  </si>
  <si>
    <t>Common House Operation</t>
  </si>
  <si>
    <t>Propane</t>
  </si>
  <si>
    <t>Common House Reserve</t>
  </si>
  <si>
    <t>leach bed cost</t>
  </si>
  <si>
    <t>units</t>
  </si>
  <si>
    <t>unit cost</t>
  </si>
  <si>
    <t>total</t>
  </si>
  <si>
    <t>phase 1 septic</t>
  </si>
  <si>
    <t>engineered</t>
  </si>
  <si>
    <t>phase 2 septic</t>
  </si>
  <si>
    <t>force main</t>
  </si>
  <si>
    <t>gravity</t>
  </si>
  <si>
    <t>=======</t>
  </si>
  <si>
    <t>4 bedroom</t>
  </si>
  <si>
    <t>conduit</t>
  </si>
  <si>
    <t>leach beds</t>
  </si>
  <si>
    <t>pumps</t>
  </si>
  <si>
    <t>26 @ $1000 each</t>
  </si>
  <si>
    <t>septic tanks</t>
  </si>
  <si>
    <t>25 @ $800 + 3 @ $1,250</t>
  </si>
  <si>
    <t>================================================================================</t>
  </si>
  <si>
    <t>grand total</t>
  </si>
  <si>
    <t>interest earned</t>
  </si>
  <si>
    <t>inflation rate</t>
  </si>
  <si>
    <t>tax rate</t>
  </si>
  <si>
    <t>include 0=No 1=Yes</t>
  </si>
  <si>
    <t>life</t>
  </si>
  <si>
    <t>monthly fee</t>
  </si>
  <si>
    <t>tanks</t>
  </si>
  <si>
    <t>Building Component</t>
  </si>
  <si>
    <t>installed cost</t>
  </si>
  <si>
    <t>roof:</t>
  </si>
  <si>
    <t>siding:</t>
  </si>
  <si>
    <t>appliances:</t>
  </si>
  <si>
    <t>stove:</t>
  </si>
  <si>
    <t>dishwasher:</t>
  </si>
  <si>
    <t>frig:</t>
  </si>
  <si>
    <t>furniture:</t>
  </si>
  <si>
    <t>(may build some funds to buy decent stuff eventually, combined with "improvement" $)</t>
  </si>
  <si>
    <t>painting:</t>
  </si>
  <si>
    <t>labor by us</t>
  </si>
  <si>
    <t>Mechanical:</t>
  </si>
  <si>
    <t>heat:</t>
  </si>
  <si>
    <t>ask Chris?</t>
  </si>
  <si>
    <t>HRV:</t>
  </si>
  <si>
    <t>Floors:</t>
  </si>
  <si>
    <t>Fire suppression</t>
  </si>
  <si>
    <t>lifespan (yrs.)</t>
  </si>
  <si>
    <t>refinish floors</t>
  </si>
  <si>
    <t>kitchen and bath floors</t>
  </si>
  <si>
    <t>Great room, LR, Hall floors</t>
  </si>
  <si>
    <t>Interior paint</t>
  </si>
  <si>
    <t>Exterior paint</t>
  </si>
  <si>
    <t>Total $ per Lifespan Period</t>
  </si>
  <si>
    <t>Cost at End of Lifespan</t>
  </si>
  <si>
    <t>Lifespan</t>
  </si>
  <si>
    <t>Cost per household per month</t>
  </si>
  <si>
    <t>Equipment Reserve</t>
  </si>
  <si>
    <t>tractor</t>
  </si>
  <si>
    <t>snowthrower</t>
  </si>
  <si>
    <t>original cost</t>
  </si>
  <si>
    <t>trailer</t>
  </si>
  <si>
    <t>Balance Needed</t>
  </si>
  <si>
    <t>% of total</t>
  </si>
  <si>
    <t>Septic inspection and pumping</t>
  </si>
  <si>
    <t>Road Reserve</t>
  </si>
  <si>
    <t>Septic Reserve</t>
  </si>
  <si>
    <t>8 water pumps</t>
  </si>
  <si>
    <t>tractor/mower</t>
  </si>
  <si>
    <t>windbreak</t>
  </si>
  <si>
    <t>This includes weights, weight brk., and chains</t>
  </si>
  <si>
    <t>A</t>
  </si>
  <si>
    <t>B</t>
  </si>
  <si>
    <t>C</t>
  </si>
  <si>
    <t>D</t>
  </si>
  <si>
    <t>E</t>
  </si>
  <si>
    <t>F</t>
  </si>
  <si>
    <t>G</t>
  </si>
  <si>
    <t>H</t>
  </si>
  <si>
    <t>serves lots:</t>
  </si>
  <si>
    <t>22,23,24</t>
  </si>
  <si>
    <t>3,4,5,8,9</t>
  </si>
  <si>
    <t>6,7</t>
  </si>
  <si>
    <t>10</t>
  </si>
  <si>
    <t>1,2,11,12,13,14,CH</t>
  </si>
  <si>
    <t>17,18</t>
  </si>
  <si>
    <t>15,16,19</t>
  </si>
  <si>
    <t>26,27,25,21,20</t>
  </si>
  <si>
    <t>Well</t>
  </si>
  <si>
    <t>septic pumps</t>
  </si>
  <si>
    <t>water pumps</t>
  </si>
  <si>
    <t>26 septic pumps</t>
  </si>
  <si>
    <t>Subtotal</t>
  </si>
  <si>
    <t>Air-to-air Heat Exchanger:</t>
  </si>
  <si>
    <t>conduit, site work</t>
  </si>
  <si>
    <t>Assumes $1,000 per installed pump plus some extra for other materials and labor</t>
  </si>
  <si>
    <t>pressure tanks</t>
  </si>
  <si>
    <t>Average of $269 per lot</t>
  </si>
  <si>
    <t>Assumes 26 pumps at $875 each</t>
  </si>
  <si>
    <t>Actual cost</t>
  </si>
  <si>
    <t>Inflation</t>
  </si>
  <si>
    <t>1996</t>
  </si>
  <si>
    <t>1997</t>
  </si>
  <si>
    <t>1998</t>
  </si>
  <si>
    <t>1999</t>
  </si>
  <si>
    <t>2000</t>
  </si>
  <si>
    <t>2001</t>
  </si>
  <si>
    <t>2002</t>
  </si>
  <si>
    <t>2003</t>
  </si>
  <si>
    <t>CPI index</t>
  </si>
  <si>
    <t>Non-res. months</t>
  </si>
  <si>
    <t>Monthly
Total</t>
  </si>
  <si>
    <t>Yearly 
Totals</t>
  </si>
  <si>
    <t>Monthly 
Totals</t>
  </si>
  <si>
    <t>?</t>
  </si>
  <si>
    <t>Total Annual Expected HOA Collections</t>
  </si>
  <si>
    <t>CH Reserve</t>
  </si>
  <si>
    <t>Yearly Total</t>
  </si>
  <si>
    <t>Household months</t>
  </si>
  <si>
    <t>2005 Fees (for comparison)</t>
  </si>
  <si>
    <t>CH supplies electricity</t>
  </si>
  <si>
    <t>Where did this number come from?</t>
  </si>
  <si>
    <t>Maintenance Cmte</t>
  </si>
  <si>
    <t>n/a</t>
  </si>
  <si>
    <t>Treasurer</t>
  </si>
  <si>
    <t>Who can authorize this expenditure?</t>
  </si>
  <si>
    <t>Membership Cmte</t>
  </si>
  <si>
    <t>CHOC</t>
  </si>
  <si>
    <t>Electricity</t>
  </si>
  <si>
    <t>Kitchen and cleaning supplies</t>
  </si>
  <si>
    <t>Repairs/service</t>
  </si>
  <si>
    <t>CHOC other/discretionary</t>
  </si>
  <si>
    <t>General/Other</t>
  </si>
  <si>
    <t>Monthly Household Cost</t>
  </si>
  <si>
    <t>Treasurer handles via HOA invoices</t>
  </si>
  <si>
    <t>future cost</t>
  </si>
  <si>
    <t>Ceiling?</t>
  </si>
  <si>
    <t>Yes</t>
  </si>
  <si>
    <t>E.g., broken glasses, plates, fixing appliances; will probably go over if/when appliances needs service</t>
  </si>
  <si>
    <t>Office supplies, copies, postage</t>
  </si>
  <si>
    <t>Fed &amp; state tax, filing fees</t>
  </si>
  <si>
    <t>Well electricity</t>
  </si>
  <si>
    <t>Snow removal &amp; sanding</t>
  </si>
  <si>
    <t>Community improvements</t>
  </si>
  <si>
    <t>Net income</t>
  </si>
  <si>
    <t>Rate</t>
  </si>
  <si>
    <t>Balance</t>
  </si>
  <si>
    <t>Actual Collections</t>
  </si>
  <si>
    <t>(0 for non-residents)</t>
  </si>
  <si>
    <t>(10 for non-residents)</t>
  </si>
  <si>
    <t>pre-1999</t>
  </si>
  <si>
    <t>($18,130 xfr'd to C4 for CH construction)</t>
  </si>
  <si>
    <t>1 Year</t>
  </si>
  <si>
    <t>Expenses</t>
  </si>
  <si>
    <t>pre-2004</t>
  </si>
  <si>
    <t>(0 fee for non-residents)</t>
  </si>
  <si>
    <t>Water tests/fee</t>
  </si>
  <si>
    <t>Annual allowance for repairs:</t>
  </si>
  <si>
    <t>collections required for this year</t>
  </si>
  <si>
    <t>monthly amount per household</t>
  </si>
  <si>
    <t>target for annual fees</t>
  </si>
  <si>
    <t>Expenditures from Equipment Reserve require community approval EXCEPT for repairs to the related infrastructure,</t>
  </si>
  <si>
    <t>Legal/professional services</t>
  </si>
  <si>
    <t>Having this reserve will allow us to stop budgeting large contingency amounts in our annual</t>
  </si>
  <si>
    <t>operating budget.  We will retain a small contingency that Coordinators can use at their discretion,</t>
  </si>
  <si>
    <t>Full community</t>
  </si>
  <si>
    <t>Community Improvements Fund</t>
  </si>
  <si>
    <t>The annual budget process should include consideration as to whether the funding level is adequate,</t>
  </si>
  <si>
    <t xml:space="preserve">funds will be restored.  The normal expectation is that the following year’s budget will include </t>
  </si>
  <si>
    <t xml:space="preserve">but there is no expectation that the annual budget will routinely include funds to increase this reserve.  </t>
  </si>
  <si>
    <t>Any proposals to spend Contingency Reserve monies must include a plan for how/when the reserve</t>
  </si>
  <si>
    <t>replenishment funds.</t>
  </si>
  <si>
    <t>This reserve is intended primarily for emergencies and major unplanned expenses.</t>
  </si>
  <si>
    <t>an intention to set aside $10K for future emergencies/expenses, plus $1200 to cover the</t>
  </si>
  <si>
    <t>estimated 2006 interest expense for the Lot 25 bridge loans.</t>
  </si>
  <si>
    <t>Contingency Reserve</t>
  </si>
  <si>
    <t>Cohousing Assoc of the US</t>
  </si>
  <si>
    <t>Other/finance charges</t>
  </si>
  <si>
    <t>Initial allocation from surplus prior to 2005</t>
  </si>
  <si>
    <t>Total</t>
  </si>
  <si>
    <t>Resident months</t>
  </si>
  <si>
    <t>Assoc Months</t>
  </si>
  <si>
    <t>2006 Fees (for comparison)</t>
  </si>
  <si>
    <t>yearly target</t>
  </si>
  <si>
    <t>Expense</t>
  </si>
  <si>
    <t>Monthly fee incr (decr)</t>
  </si>
  <si>
    <t>Resurfacing Echo Rd: plan on $15,000 every 12 years -- $1250/yr</t>
  </si>
  <si>
    <t>Target:</t>
  </si>
  <si>
    <t>Other Road Reserve expenditures require community approval.</t>
  </si>
  <si>
    <t xml:space="preserve">    which can be authorized by the maintenance committee.</t>
  </si>
  <si>
    <t xml:space="preserve">TOTAL EXPENSES </t>
  </si>
  <si>
    <t>Murphy/Anderson</t>
  </si>
  <si>
    <t>Blaisdell/Tolk</t>
  </si>
  <si>
    <t>Andrews/Krill</t>
  </si>
  <si>
    <t>INCOME &amp; RESERVE DRAWS</t>
  </si>
  <si>
    <t>Non-Res. Assoc.</t>
  </si>
  <si>
    <t>Resident member fees</t>
  </si>
  <si>
    <t>Non-resident member fees</t>
  </si>
  <si>
    <t>INCOME</t>
  </si>
  <si>
    <t>Associates, donations, other</t>
  </si>
  <si>
    <t>Resident monthly rate</t>
  </si>
  <si>
    <t>Interest</t>
  </si>
  <si>
    <t>(Non-resident fee $4)</t>
  </si>
  <si>
    <t>Net Income Roll-over</t>
  </si>
  <si>
    <t>Deposits</t>
  </si>
  <si>
    <t>Withdrawals</t>
  </si>
  <si>
    <t>Interest expense for Lot 25 bridge loan</t>
  </si>
  <si>
    <t>Date</t>
  </si>
  <si>
    <t>Established reserve</t>
  </si>
  <si>
    <t>2008 Budget</t>
  </si>
  <si>
    <t>Non-resident monthly rate</t>
  </si>
  <si>
    <t>This reserve covers:</t>
  </si>
  <si>
    <t>Contingency Reserve was initially funded 1/1/2006 with $11,200.  This number comes from</t>
  </si>
  <si>
    <t>2007 Fees (for comparison)</t>
  </si>
  <si>
    <t>Associate</t>
  </si>
  <si>
    <t>Donations (guest room)</t>
  </si>
  <si>
    <t>Associate fees</t>
  </si>
  <si>
    <t>Associates</t>
  </si>
  <si>
    <t>Membership, Communication</t>
  </si>
  <si>
    <t>Property tax (common house)</t>
  </si>
  <si>
    <t>Documents</t>
  </si>
  <si>
    <t>Equipment gas/maintenance</t>
  </si>
  <si>
    <t>Other/discretionary</t>
  </si>
  <si>
    <t>Taxes on non-exempt income</t>
  </si>
  <si>
    <t>Average inflation rate</t>
  </si>
  <si>
    <t>net interest rate</t>
  </si>
  <si>
    <t>All expenditures from Common House reserve require community approval.</t>
  </si>
  <si>
    <t>repair/refinish instead of replace</t>
  </si>
  <si>
    <t>finish flooring (estimated $15K) not done - concrete stained instead</t>
  </si>
  <si>
    <t>will also be rolled into Road Reserve, leaving this fund at $0 for 2008.</t>
  </si>
  <si>
    <t>Web site and domain names, calendar, email lists, etc, through Leonard</t>
  </si>
  <si>
    <t>Web site hosting, email lists, calendar</t>
  </si>
  <si>
    <t>Expenditures from Road Reserve can be made by Management Committee for annual maintenance up to $2750.</t>
  </si>
  <si>
    <t>Unspent annual funds to accumulate for other possible repairs/improvements</t>
  </si>
  <si>
    <t>rate used</t>
  </si>
  <si>
    <t>Po/Schuele</t>
  </si>
  <si>
    <t>Konzal</t>
  </si>
  <si>
    <t>utility vehicle</t>
  </si>
  <si>
    <t>In 2007 $8500 was allocated to a new plowing/mowing/utility vehicle, and the balance</t>
  </si>
  <si>
    <t>was allocated to Road Reserve.  In addition, any 2007 year-end surplus</t>
  </si>
  <si>
    <t>mower attachment</t>
  </si>
  <si>
    <t>Actual; purchased 9/2007</t>
  </si>
  <si>
    <t>mower</t>
  </si>
  <si>
    <t>2009 Budget</t>
  </si>
  <si>
    <t>Webmaster</t>
  </si>
  <si>
    <t>Common Land</t>
  </si>
  <si>
    <t>Commons Cmte</t>
  </si>
  <si>
    <t>Maintenance of landscape; mulch</t>
  </si>
  <si>
    <t>Commons</t>
  </si>
  <si>
    <t>Commons discretionary</t>
  </si>
  <si>
    <t xml:space="preserve">  $3410.55 Xfrd from operating surplus on 1/1/08</t>
  </si>
  <si>
    <t xml:space="preserve">  $5331.51 Xfrd from Community Improvements</t>
  </si>
  <si>
    <t>while drawing from the reserve will require community approval.</t>
  </si>
  <si>
    <t>2008 Fees (for comparison)</t>
  </si>
  <si>
    <t>Agreed in 2005 to roll any operating profit (loss) into this fund, unless another plan is made</t>
  </si>
  <si>
    <t>for a given year.</t>
  </si>
  <si>
    <t>Net interest</t>
  </si>
  <si>
    <t>M&amp;M</t>
  </si>
  <si>
    <t>Cost year</t>
  </si>
  <si>
    <t>Est. life</t>
  </si>
  <si>
    <t>Cost</t>
  </si>
  <si>
    <t>Years left</t>
  </si>
  <si>
    <t>Future cost</t>
  </si>
  <si>
    <t>Future value of savings</t>
  </si>
  <si>
    <t>Monthly fee</t>
  </si>
  <si>
    <t>Treasurer or Secretary</t>
  </si>
  <si>
    <t>Households are assessed $3/mo. Those that supply pump electricity are reimbursed $3/mo/household served by well.  CH electric bill is partially covered by amt for 6 households (127, 125, 100, 98, 96, 94).</t>
  </si>
  <si>
    <t>to provide an operating "cushion."  Otherwise our checking balance goes to zero on January 1,</t>
  </si>
  <si>
    <t>Newlin/Carton</t>
  </si>
  <si>
    <t>2008 Actual</t>
  </si>
  <si>
    <t>2010 Budget</t>
  </si>
  <si>
    <t>2009 Fees (for comparison)</t>
  </si>
  <si>
    <t>2008 Note: 2007 surplus of $3410.55 allocated to this reserve (to help pay for the major road work done Oct/2007)</t>
  </si>
  <si>
    <t>Some research has been done about future septic replacement/enhancement options, but we have adopted no plan.</t>
  </si>
  <si>
    <t>Mowing still assumed to be all volunteer</t>
  </si>
  <si>
    <t>Experience</t>
  </si>
  <si>
    <t>Assume we will continue to bill individual households for snow removal costs for their driveway (optional) or parking spaces.</t>
  </si>
  <si>
    <t>Annual contribution</t>
  </si>
  <si>
    <t>Commons/Treasurer</t>
  </si>
  <si>
    <t>Intro packet, membership notebook, etc (now expected to be done online)</t>
  </si>
  <si>
    <t>CH-area landscaping/maintenance</t>
  </si>
  <si>
    <t>Commons; tree cutting in consultation w/Maintenance</t>
  </si>
  <si>
    <t>snowblower</t>
  </si>
  <si>
    <t>not planning to replace this; purchase snowblower instead</t>
  </si>
  <si>
    <t>not planning to replace this</t>
  </si>
  <si>
    <t>2009 Actual</t>
  </si>
  <si>
    <t>Non-shared plowing</t>
  </si>
  <si>
    <t>Non-shared plowing collections</t>
  </si>
  <si>
    <t>2008/2009 Note: Starting in 2008, operating surplusses were left in the checking account</t>
  </si>
  <si>
    <t>just when we get our big snow removal and propane expenses.  This was done until the</t>
  </si>
  <si>
    <t>cushion reached $2,000.  For 2008 the amount was 949.53.  At the end of 2009 the remaining</t>
  </si>
  <si>
    <t>$1050.47 was added, leaving a remaining surplus of $3409.48 transferred to this fund.</t>
  </si>
  <si>
    <t>For 2008/2009  see the note below.</t>
  </si>
  <si>
    <t>Repairs</t>
  </si>
  <si>
    <t>Purchases</t>
  </si>
  <si>
    <t>Contingency</t>
  </si>
  <si>
    <t>Improvement
Fund</t>
  </si>
  <si>
    <t>CH
Reserve</t>
  </si>
  <si>
    <t>Road
Reserve</t>
  </si>
  <si>
    <t>Septic
Reserve</t>
  </si>
  <si>
    <t>Operating
Budget</t>
  </si>
  <si>
    <t>2010 Fees (for comparison)</t>
  </si>
  <si>
    <t>2011 Budget</t>
  </si>
  <si>
    <t>Cobb</t>
  </si>
  <si>
    <t>De Rivera</t>
  </si>
  <si>
    <t>Fee</t>
  </si>
  <si>
    <t>Interest
Earned</t>
  </si>
  <si>
    <t>Estimated Reserve Account
Balance at
Year's End</t>
  </si>
  <si>
    <t>NET INCOME</t>
  </si>
  <si>
    <t>Differences from previous year, and other notes:</t>
  </si>
  <si>
    <t>for 2011</t>
  </si>
  <si>
    <t>2010 (thru 06/2010)</t>
  </si>
  <si>
    <t>TOTAL</t>
  </si>
  <si>
    <t>Current Year (end of):</t>
  </si>
  <si>
    <t>Current
Savings
(Esimated)</t>
  </si>
  <si>
    <t>Monthly Resident HOA Fee Changed By:</t>
  </si>
  <si>
    <t>"Interest earned" calculation = use avarge interest rate from CDs as "interest earned"</t>
  </si>
  <si>
    <t>Weaver/Rayner</t>
  </si>
  <si>
    <t>Some repair payments really should be capital replacement, and should therefore come out of equipment reserve fund.</t>
  </si>
  <si>
    <t>Equipment
Reserve</t>
  </si>
  <si>
    <t>Unbuilt Lot Fee</t>
  </si>
  <si>
    <t>Tree maintenance, trail signage, workday supplies, Roundup, in 2011 3 chain saw safety classes + lumber, etc</t>
  </si>
  <si>
    <t>Note: 3.4% seems a bit high since $45K+ is in CD at 1.5%.  Therfore will use 3.0% for 2010-2012</t>
  </si>
  <si>
    <t>reclaim for road and parking lot maintenance</t>
  </si>
  <si>
    <t>Notes</t>
  </si>
  <si>
    <t>2011 Fees (for comparison)</t>
  </si>
  <si>
    <t>2012 Budget</t>
  </si>
  <si>
    <t>2010
Actual</t>
  </si>
  <si>
    <t>Karwacky/Field</t>
  </si>
  <si>
    <t>Estimated interest income after taxes</t>
  </si>
  <si>
    <t>82 Echo Road</t>
  </si>
  <si>
    <t>115 Echo Road</t>
  </si>
  <si>
    <t>108 Echo Road</t>
  </si>
  <si>
    <t>Service</t>
  </si>
  <si>
    <t xml:space="preserve">Location </t>
  </si>
  <si>
    <t>78 Echo Road</t>
  </si>
  <si>
    <t>Replaced Septic Pump</t>
  </si>
  <si>
    <t>80 Echo Road</t>
  </si>
  <si>
    <t>106 Echo Road</t>
  </si>
  <si>
    <t>88 Echo Road</t>
  </si>
  <si>
    <t>96 Echo Road</t>
  </si>
  <si>
    <t>85 Echo Road</t>
  </si>
  <si>
    <t>Replaced Well Pump</t>
  </si>
  <si>
    <t>Replaced Pressure Tank</t>
  </si>
  <si>
    <t>86 Echo Road</t>
  </si>
  <si>
    <t>Well H (LCE 6&amp;7)</t>
  </si>
  <si>
    <t>Well D (CH)</t>
  </si>
  <si>
    <t>Gas/maintenance for various community vehicles/equipment (including Cobb tractor, $200)</t>
  </si>
  <si>
    <t>Proposed well testing regiment: see well sampling schedule tab</t>
  </si>
  <si>
    <t>104 Echo Road</t>
  </si>
  <si>
    <t>Monthly Non-Resident HOA Fee Changed By:</t>
  </si>
  <si>
    <t>Notes:</t>
  </si>
  <si>
    <t>10/23/11 - In GM, M&amp;M was authorized to expend up to $1800 from Septic Reserve for the purpose of testing septic system (leachfields, D-box).</t>
  </si>
  <si>
    <t>Note: the difference between the non-resident Operating Budget fee and resident Operating Budget fee should equal the sum of the Maintenance line items in the Operating tab.</t>
  </si>
  <si>
    <t>non-resident Operating Budget check:</t>
  </si>
  <si>
    <t>2012 Fees (for comparison)</t>
  </si>
  <si>
    <t>Bate &amp; Sandstead</t>
  </si>
  <si>
    <t>2011
Actual</t>
  </si>
  <si>
    <t>2013 Budget</t>
  </si>
  <si>
    <t>2012
Actual</t>
  </si>
  <si>
    <t>Expenditures from the septic reserve require community approval.</t>
  </si>
  <si>
    <t>27 lots * $3/month * 12 months</t>
  </si>
  <si>
    <t>Assume 27 households in residence</t>
  </si>
  <si>
    <t>expense = parts for engineered septic system D box</t>
  </si>
  <si>
    <t>expense = engineered septic system inspection, replace septic tank at 104 Echo Road</t>
  </si>
  <si>
    <t>Replaced septic tank</t>
  </si>
  <si>
    <t>84 Echo Road</t>
  </si>
  <si>
    <t>Liability, common house, storage building</t>
  </si>
  <si>
    <t xml:space="preserve">Total Number of Resident Households in HOA = </t>
  </si>
  <si>
    <t>Note that non-residents do not contribute to the equipment reserve</t>
  </si>
  <si>
    <t>In June 2011, purchased a grill for the CH using funds from this account (as per approved expedited proposal, dated 6/6/2011)</t>
  </si>
  <si>
    <t>In August 2011, expended up to $5000 to pay for construction of equipment storage garage (as per May 2012 GM decision)</t>
  </si>
  <si>
    <t>End of 2012 Reserve
(Estimated)</t>
  </si>
  <si>
    <t>Monthly HOA Fees</t>
  </si>
  <si>
    <t>Storage Garage Electricity</t>
  </si>
  <si>
    <t>Maintenance Committee discretionary.</t>
  </si>
  <si>
    <t>Coordinators Discretionary</t>
  </si>
  <si>
    <t>Contingency (Coordinators)</t>
  </si>
  <si>
    <t>For emergencies, at discretion of Coordinators.  Changed to Coordinators Discretionary for 2013 budget.</t>
  </si>
  <si>
    <t>Reserve budget was reviewed during 2013 HOA budget season (Fall 2013).  2013 reserve amount is based on findings of this review.</t>
  </si>
  <si>
    <t>To be paid annually to Janet Doehring annual for electricty at Community Storage Garage, as per May 2012 GM decision.  Cost estimated at $5 per month.</t>
  </si>
  <si>
    <t>$900 from CI fund are allocated to pass-through shutters between kitchen and great room in Common House (as per May 2012 GM decision)</t>
  </si>
  <si>
    <t>10/14/2012 - GM Meeting Decision: Any HOA operating budget surplus for 2012 will be returned to the HOA members.  Approved.</t>
  </si>
  <si>
    <t>HOA Fees</t>
  </si>
  <si>
    <t>Projector for CH</t>
  </si>
  <si>
    <t>Hardscaping around CH</t>
  </si>
  <si>
    <t>Community Exterior Lighting</t>
  </si>
  <si>
    <t>Marketing Two Echo, for the purpose of improving house sales</t>
  </si>
  <si>
    <t>Insurance deductibles</t>
  </si>
  <si>
    <t>Playground</t>
  </si>
  <si>
    <t>Road signs</t>
  </si>
  <si>
    <t>Trail signs</t>
  </si>
  <si>
    <t>Reserve study</t>
  </si>
  <si>
    <t>Pond maintenance</t>
  </si>
  <si>
    <t>Stormwater regulation compliance</t>
  </si>
  <si>
    <t>Any expenditures from the Community Imrpvements Fund require HOA approval.</t>
  </si>
  <si>
    <t>Electricity - Shared Well Pump</t>
  </si>
  <si>
    <t>2013 Fees (for comparison)</t>
  </si>
  <si>
    <t>Engineered septic system inspection</t>
  </si>
  <si>
    <t>List of Major Septic Infrastructure Replacements/Expenditures</t>
  </si>
  <si>
    <t xml:space="preserve">Assumed Interest Rate = </t>
  </si>
  <si>
    <t>based on past history</t>
  </si>
  <si>
    <t>82 Echo Road supplies electricity</t>
  </si>
  <si>
    <t>115 Echo Road supplies electricity</t>
  </si>
  <si>
    <t>87 Echo Road supplies electricity</t>
  </si>
  <si>
    <t>90 Echo Road supplies electricity</t>
  </si>
  <si>
    <t>102 Echo Road supplies electricity</t>
  </si>
  <si>
    <t>108 Echo Road supplies electricity</t>
  </si>
  <si>
    <t>2011 - Tree work by Jack Hernandez (M&amp;M Cmte., approved via 12/04/2011 expedited proposal)</t>
  </si>
  <si>
    <t>01/01/2012 - Transfer to replenish Contingency Reserve Balance for M&amp;M Tree Work, as per approved 12/04/2011 Expedited Propsal</t>
  </si>
  <si>
    <t>10/14/2012 - GM Decision: Any funds existing in the Community Improvement Fund, as of today, shall be spent by the HOA on items such as, but not limited to, the following list:</t>
  </si>
  <si>
    <t>In January 2013, purchased projector for CH as per approved Expedited Proposal dated 01/22/2013</t>
  </si>
  <si>
    <t>Wilson</t>
  </si>
  <si>
    <t>2013
Actual</t>
  </si>
  <si>
    <t>2014 Budget</t>
  </si>
  <si>
    <t>HOA Fee Allocation</t>
  </si>
  <si>
    <t>ENDING BALANCES</t>
  </si>
  <si>
    <t>Road Reserve collection insufficient to cover M&amp;M allowance of $2750 per year for road maintenance.  If $2750 expended yearly, then we are using up the Road Reserve principal</t>
  </si>
  <si>
    <t>127 Echo Road</t>
  </si>
  <si>
    <t>Well B (behind 78 Echo Road)</t>
  </si>
  <si>
    <t>76 Echo Road supplies electricity</t>
  </si>
  <si>
    <t>reclaim for road and parking lot maintenance, tractor repairs, emergency and directional signage, Echo Road crack filling</t>
  </si>
  <si>
    <t>Add to notes M&amp;M box description</t>
  </si>
  <si>
    <t>Common house was brought into service in 2005 (inlcuding all appliances/infrastructure within it)</t>
  </si>
  <si>
    <t>Cleaning (whole CH) and kitchen supplies and staples (not meals) and grill propane; includes dishwasher detergent</t>
  </si>
  <si>
    <t>2014 budget process note: Add generator to items listed on this reserve.  Keep fee as is.</t>
  </si>
  <si>
    <t>Generator</t>
  </si>
  <si>
    <t>generator</t>
  </si>
  <si>
    <t>Straw poll taken on 10/20/13 - Agreed.</t>
  </si>
  <si>
    <t>Internet Service</t>
  </si>
  <si>
    <t>Lyon/Jaret</t>
  </si>
  <si>
    <t>Welch</t>
  </si>
  <si>
    <t>Mueller</t>
  </si>
  <si>
    <t>2013</t>
  </si>
  <si>
    <t>Engineered Septic System</t>
  </si>
  <si>
    <t>Design and Repairs</t>
  </si>
  <si>
    <t>expense = repairs to engineered septic system</t>
  </si>
  <si>
    <t>Expedited Proposal for Improvements to the Engineered Leach Bed as approved by HOA on July 18, 2013 authorizes M&amp;M to expend up to $1900 from Septic Reserves</t>
  </si>
  <si>
    <t>Significant expenditure by M&amp;M in 2013 to repair engineered septic system</t>
  </si>
  <si>
    <t>reclaim, gravel, echo road signage, echo road sealing</t>
  </si>
  <si>
    <t>Annual (more or less) maintenance (reclaim, grading, drainage repairs, etc), under purview of M&amp;M -- $2750</t>
  </si>
  <si>
    <t>2014 Fees (for comparison)</t>
  </si>
  <si>
    <t>2015 Budget</t>
  </si>
  <si>
    <t>ANTICIPATED EXPENSES</t>
  </si>
  <si>
    <t>Still Need:</t>
  </si>
  <si>
    <t>Repaired Float Switch</t>
  </si>
  <si>
    <t xml:space="preserve">10/19/2014 - In GM, M&amp;M authorized to expend up to $3200 from Septic Reserve for the purpose of inspecting individual septic system leach fields.  See GM minutes for specific proposal language.  </t>
  </si>
  <si>
    <t>10/20/2013 - GM Decision: Any HOA operating budget surplus for 2013 will be rolled into the Community Improvement Fund.  Approved.</t>
  </si>
  <si>
    <t>10/19/2014 - GM Decision: Any HOA operating budget surplus for 2014 will be rolled into the Community Improvement Fund.  Approved.</t>
  </si>
  <si>
    <t>Replaced Septic Pump and float switch</t>
  </si>
  <si>
    <t>2015 Fees (for comparison)</t>
  </si>
  <si>
    <t>Des Jardins</t>
  </si>
  <si>
    <t>Summary Of Operating Expenses</t>
  </si>
  <si>
    <t>Common House furniture</t>
  </si>
  <si>
    <t>Chairs for CH</t>
  </si>
  <si>
    <t>Torpedo propane tank for CH, CH repairs</t>
  </si>
  <si>
    <t>2016 Budget</t>
  </si>
  <si>
    <t>2015 Actual
(thru 08/12/15)</t>
  </si>
  <si>
    <t>2014 Actual</t>
  </si>
  <si>
    <t>should be 3179</t>
  </si>
  <si>
    <t>should be 5114</t>
  </si>
  <si>
    <t>should be 3409</t>
  </si>
  <si>
    <t>Estimates for septic inspection and pumping and snow removal and sanding. Budget requests from individual committees.</t>
  </si>
  <si>
    <t>Septic</t>
  </si>
  <si>
    <t>Roads</t>
  </si>
  <si>
    <t>CH</t>
  </si>
  <si>
    <t>Equipment</t>
  </si>
  <si>
    <t>supplies and materials for trail bridges (Commons, approved exp. Proposal), wood chips for playground (M&amp;M, approved exp. Proposal)</t>
  </si>
  <si>
    <t>projector for CH (approved Expedited Proposal, dated 01/22/2013)</t>
  </si>
  <si>
    <t>Community storage shed</t>
  </si>
  <si>
    <t>grill for CH</t>
  </si>
  <si>
    <t>reclaim, gravel, echo road crack filling</t>
  </si>
  <si>
    <t>10/25/2015 - GM Decision: Any HOA operating budget surplus for 2015 will be rolled into the Community Improvement Fund.  Approved.</t>
  </si>
  <si>
    <t>New float switch</t>
  </si>
  <si>
    <t>Lot 14.5 landscaping, taxes due on investment income, trail bridges</t>
  </si>
  <si>
    <t>Weiss</t>
  </si>
  <si>
    <t>2016 Fees (for comparison)</t>
  </si>
  <si>
    <t>Lavoie</t>
  </si>
  <si>
    <t>10/25/2015 - In GM, $3200 not expended in 2015 yet. Plan is to not perform the inspections. Money not spent from Septic Reserve. Approved.</t>
  </si>
  <si>
    <t>CH Painting, gameroom door</t>
  </si>
  <si>
    <t>CH screen door</t>
  </si>
  <si>
    <t>List of Major Equipment/Infrastructure Expenses</t>
  </si>
  <si>
    <t>New Mower</t>
  </si>
  <si>
    <t>New Snow Thrower</t>
  </si>
  <si>
    <t>2017 Budget</t>
  </si>
  <si>
    <t>Established as of 2013 budget</t>
  </si>
  <si>
    <t>Based on historic operations</t>
  </si>
  <si>
    <t>2015 Actual</t>
  </si>
  <si>
    <t>Fire protection - water pond/tank, fire extinguishers, fire concerns</t>
  </si>
  <si>
    <t>Cub cabet sale money ($400)</t>
  </si>
  <si>
    <t>Discuss treatment of radon in groundwater. Should HOA be responsible for providing treatment?</t>
  </si>
  <si>
    <t>10/23/2016 - GM Decision: Any HOA operating budget surplus for 2016 will be rolled into the Community Improvement Fund.  Approved.</t>
  </si>
  <si>
    <t>10/23/16 - GM Discussion to add generator to list of items that can be replaced using funds from community reserves. Approved (consensed).</t>
  </si>
  <si>
    <t>If necessary, generator will be replaced using funds from the CH reserve.</t>
  </si>
  <si>
    <t>Miscellaneous furnishings, fixtures, materials, services, etc, for the CH, at CHOC discretion. 2016 added to this line inspection and service of CH generator.</t>
  </si>
  <si>
    <t>Wheatley</t>
  </si>
  <si>
    <t>2018 HOA Budget Summary</t>
  </si>
  <si>
    <t>STARTING FUND BALANCES
(estimated to end of 2017)</t>
  </si>
  <si>
    <t>2017 Fees (for comparison)</t>
  </si>
  <si>
    <t>HOA FEES for 2018</t>
  </si>
  <si>
    <t>Estimated 2017</t>
  </si>
  <si>
    <t>Budget 2018</t>
  </si>
  <si>
    <t>Change from
2017 Budget</t>
  </si>
  <si>
    <t>2018 Budget</t>
  </si>
  <si>
    <t>Dead River payment plan = $190/month. Start date: 07/3/2017, end date: 05/31/2020. Purchased 3600 gallons at $1.599/gallon. Total cost = $5756.40.
Low propane allocation in 2017 due to credit with Downeast for low usage in 2016.</t>
  </si>
  <si>
    <t>reclaim, signage</t>
  </si>
  <si>
    <t>Pole Barn roof repairs</t>
  </si>
  <si>
    <t>CH generator repairs</t>
  </si>
  <si>
    <t>FUV repairs</t>
  </si>
  <si>
    <t xml:space="preserve">Deed recording fees, trail bridges, tree removal </t>
  </si>
  <si>
    <t>2016 Actual</t>
  </si>
  <si>
    <t>Fed/State income tax in 2017 = $813</t>
  </si>
  <si>
    <t>Though taxes on land are included in our individual assessments, the CH is billed to the HOA. August 2017 KRT estimate is $5356.12, but this seems low.</t>
  </si>
  <si>
    <t>Previous year</t>
  </si>
  <si>
    <t>Contract</t>
  </si>
  <si>
    <t>Goodall estimate for 2017-2018 included in 2016-2017 Contract.</t>
  </si>
  <si>
    <t>Reserve Allocation Change from 2017 to 2018 ($/month):</t>
  </si>
  <si>
    <t>Monthly HOA fees are the same as for 2017, but required reducing allocation to reserves by $1 to make it so.</t>
  </si>
  <si>
    <t>2017 Actual
(thru 10/14/17)</t>
  </si>
  <si>
    <t>Added to budget in 2014. Current bill is $76.96/month. $77 x 12 = $924</t>
  </si>
  <si>
    <t>= pending legal fees and tree cutting????</t>
  </si>
  <si>
    <t>treework on Common Land</t>
  </si>
  <si>
    <t>10/15/2017 - GM Decision: Any HOA operating budget surplus for 2017 will be rolled into the Community Improvement Fund.  Approved.</t>
  </si>
  <si>
    <t>10/14/2017 Reserve projections to be  reviewed for 2019 budget</t>
  </si>
  <si>
    <t>Audley</t>
  </si>
  <si>
    <t>Thomka-Gazdik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</si>
</sst>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(* #,##0_);_(* \(#,##0\);_(* &quot;-&quot;??_);_(@_)"/>
    <numFmt numFmtId="173" formatCode="_(&quot;$&quot;* #,##0_);_(&quot;$&quot;* \(#,##0\);_(&quot;$&quot;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$&quot;#,##0.00"/>
    <numFmt numFmtId="178" formatCode="&quot;$&quot;#,##0.0000"/>
    <numFmt numFmtId="179" formatCode="#,##0.00;\-#,##0.00"/>
    <numFmt numFmtId="180" formatCode="_-* #,##0.0\ _D_M_-;\-* #,##0.0\ _D_M_-;_-* &quot;-&quot;??\ _D_M_-;_-@_-"/>
    <numFmt numFmtId="181" formatCode="_-* #,##0\ _D_M_-;\-* #,##0\ _D_M_-;_-* &quot;-&quot;??\ _D_M_-;_-@_-"/>
    <numFmt numFmtId="182" formatCode="0.0%"/>
    <numFmt numFmtId="183" formatCode="0.000"/>
    <numFmt numFmtId="184" formatCode="&quot;$&quot;#,##0"/>
    <numFmt numFmtId="185" formatCode="0.0"/>
    <numFmt numFmtId="186" formatCode="_(* #,##0.0_);_(* \(#,##0.0\);_(* &quot;-&quot;??_);_(@_)"/>
    <numFmt numFmtId="187" formatCode="0.0000"/>
    <numFmt numFmtId="188" formatCode="0.00000"/>
    <numFmt numFmtId="189" formatCode="0.000%"/>
    <numFmt numFmtId="190" formatCode="0_);\(0\)"/>
    <numFmt numFmtId="191" formatCode="#,##0.000_);\(#,##0.000\)"/>
    <numFmt numFmtId="192" formatCode="[$€-2]\ #,##0.00_);[Red]\([$€-2]\ #,##0.00\)"/>
    <numFmt numFmtId="193" formatCode="[$-409]dddd\,\ mmmm\ dd\,\ yyyy"/>
    <numFmt numFmtId="194" formatCode="mmm\-yyyy"/>
    <numFmt numFmtId="195" formatCode="#,##0.0000000000000"/>
    <numFmt numFmtId="196" formatCode="&quot;$&quot;#,##0.0_);\(&quot;$&quot;#,##0.0\)"/>
    <numFmt numFmtId="197" formatCode="0.0000000000"/>
    <numFmt numFmtId="198" formatCode="0.00000000000"/>
    <numFmt numFmtId="199" formatCode="0.000000000"/>
    <numFmt numFmtId="200" formatCode="0.00000000"/>
    <numFmt numFmtId="201" formatCode="0.0000000"/>
    <numFmt numFmtId="202" formatCode="0.000000"/>
    <numFmt numFmtId="203" formatCode="&quot;$&quot;#,##0.0"/>
    <numFmt numFmtId="204" formatCode="&quot;$&quot;#,##0.000"/>
  </numFmts>
  <fonts count="5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lbany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0"/>
      <name val="MS Sans Serif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lbany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i/>
      <sz val="9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0"/>
      <name val="Arial Unicode MS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strike/>
      <sz val="9"/>
      <name val="Arial"/>
      <family val="2"/>
    </font>
    <font>
      <sz val="15.75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1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medium">
        <color indexed="8"/>
      </bottom>
    </border>
    <border>
      <left style="thin"/>
      <right style="medium"/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5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24" borderId="1" applyNumberFormat="0" applyAlignment="0" applyProtection="0"/>
    <xf numFmtId="0" fontId="49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23" fillId="0" borderId="3" applyNumberFormat="0" applyFill="0" applyAlignment="0" applyProtection="0"/>
    <xf numFmtId="0" fontId="37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27" borderId="1" applyNumberFormat="0" applyAlignment="0" applyProtection="0"/>
    <xf numFmtId="0" fontId="53" fillId="0" borderId="6" applyNumberFormat="0" applyFill="0" applyAlignment="0" applyProtection="0"/>
    <xf numFmtId="0" fontId="54" fillId="28" borderId="0" applyNumberFormat="0" applyBorder="0" applyAlignment="0" applyProtection="0"/>
    <xf numFmtId="0" fontId="0" fillId="29" borderId="7" applyNumberFormat="0" applyFont="0" applyAlignment="0" applyProtection="0"/>
    <xf numFmtId="0" fontId="55" fillId="24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2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73" fontId="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44" applyNumberFormat="1" applyFont="1" applyAlignment="1">
      <alignment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 quotePrefix="1">
      <alignment/>
    </xf>
    <xf numFmtId="0" fontId="4" fillId="0" borderId="0" xfId="0" applyNumberFormat="1" applyFont="1" applyFill="1" applyBorder="1" applyAlignment="1" applyProtection="1">
      <alignment horizontal="right"/>
      <protection/>
    </xf>
    <xf numFmtId="3" fontId="0" fillId="24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182" fontId="0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left"/>
    </xf>
    <xf numFmtId="0" fontId="0" fillId="24" borderId="0" xfId="0" applyNumberFormat="1" applyFont="1" applyFill="1" applyBorder="1" applyAlignment="1" applyProtection="1">
      <alignment/>
      <protection/>
    </xf>
    <xf numFmtId="38" fontId="0" fillId="0" borderId="0" xfId="0" applyNumberFormat="1" applyFont="1" applyFill="1" applyBorder="1" applyAlignment="1" applyProtection="1">
      <alignment/>
      <protection/>
    </xf>
    <xf numFmtId="0" fontId="0" fillId="24" borderId="0" xfId="0" applyFill="1" applyAlignment="1">
      <alignment/>
    </xf>
    <xf numFmtId="9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6" fontId="0" fillId="0" borderId="0" xfId="0" applyNumberFormat="1" applyFont="1" applyAlignment="1">
      <alignment/>
    </xf>
    <xf numFmtId="6" fontId="4" fillId="0" borderId="0" xfId="0" applyNumberFormat="1" applyFont="1" applyAlignment="1">
      <alignment/>
    </xf>
    <xf numFmtId="6" fontId="0" fillId="0" borderId="0" xfId="0" applyNumberFormat="1" applyAlignment="1">
      <alignment/>
    </xf>
    <xf numFmtId="0" fontId="10" fillId="0" borderId="0" xfId="0" applyFont="1" applyAlignment="1">
      <alignment/>
    </xf>
    <xf numFmtId="6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left" wrapText="1"/>
    </xf>
    <xf numFmtId="0" fontId="0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82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9" fontId="0" fillId="0" borderId="0" xfId="59" applyFont="1" applyFill="1" applyBorder="1" applyAlignment="1" applyProtection="1">
      <alignment/>
      <protection/>
    </xf>
    <xf numFmtId="4" fontId="0" fillId="0" borderId="0" xfId="44" applyNumberFormat="1" applyFont="1" applyFill="1" applyBorder="1" applyAlignment="1" applyProtection="1">
      <alignment/>
      <protection/>
    </xf>
    <xf numFmtId="2" fontId="0" fillId="0" borderId="0" xfId="0" applyNumberForma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8" fontId="0" fillId="0" borderId="0" xfId="0" applyNumberFormat="1" applyAlignment="1">
      <alignment/>
    </xf>
    <xf numFmtId="0" fontId="12" fillId="0" borderId="0" xfId="0" applyFont="1" applyAlignment="1">
      <alignment horizontal="right"/>
    </xf>
    <xf numFmtId="8" fontId="4" fillId="0" borderId="0" xfId="0" applyNumberFormat="1" applyFont="1" applyAlignment="1">
      <alignment/>
    </xf>
    <xf numFmtId="0" fontId="0" fillId="0" borderId="0" xfId="0" applyNumberFormat="1" applyFont="1" applyFill="1" applyBorder="1" applyAlignment="1" applyProtection="1" quotePrefix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10" fontId="0" fillId="24" borderId="0" xfId="0" applyNumberFormat="1" applyFont="1" applyFill="1" applyBorder="1" applyAlignment="1" applyProtection="1">
      <alignment/>
      <protection/>
    </xf>
    <xf numFmtId="10" fontId="0" fillId="0" borderId="0" xfId="59" applyNumberFormat="1" applyFont="1" applyFill="1" applyBorder="1" applyAlignment="1" applyProtection="1">
      <alignment/>
      <protection/>
    </xf>
    <xf numFmtId="172" fontId="2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0" fillId="0" borderId="12" xfId="0" applyBorder="1" applyAlignment="1">
      <alignment/>
    </xf>
    <xf numFmtId="172" fontId="2" fillId="0" borderId="13" xfId="0" applyNumberFormat="1" applyFont="1" applyBorder="1" applyAlignment="1">
      <alignment horizontal="right"/>
    </xf>
    <xf numFmtId="172" fontId="2" fillId="0" borderId="14" xfId="0" applyNumberFormat="1" applyFont="1" applyBorder="1" applyAlignment="1">
      <alignment horizontal="right"/>
    </xf>
    <xf numFmtId="172" fontId="2" fillId="0" borderId="15" xfId="0" applyNumberFormat="1" applyFont="1" applyBorder="1" applyAlignment="1">
      <alignment horizontal="right"/>
    </xf>
    <xf numFmtId="10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4" fontId="0" fillId="0" borderId="16" xfId="44" applyNumberFormat="1" applyFont="1" applyBorder="1" applyAlignment="1">
      <alignment/>
    </xf>
    <xf numFmtId="9" fontId="0" fillId="0" borderId="0" xfId="59" applyFont="1" applyAlignment="1">
      <alignment/>
    </xf>
    <xf numFmtId="172" fontId="0" fillId="0" borderId="0" xfId="0" applyNumberFormat="1" applyFont="1" applyAlignment="1">
      <alignment/>
    </xf>
    <xf numFmtId="4" fontId="4" fillId="0" borderId="17" xfId="44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172" fontId="4" fillId="0" borderId="0" xfId="0" applyNumberFormat="1" applyFont="1" applyBorder="1" applyAlignment="1">
      <alignment horizontal="right"/>
    </xf>
    <xf numFmtId="4" fontId="4" fillId="0" borderId="0" xfId="44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4" fontId="0" fillId="0" borderId="0" xfId="44" applyNumberFormat="1" applyFont="1" applyBorder="1" applyAlignment="1">
      <alignment/>
    </xf>
    <xf numFmtId="4" fontId="0" fillId="0" borderId="0" xfId="44" applyNumberFormat="1" applyFont="1" applyAlignment="1">
      <alignment/>
    </xf>
    <xf numFmtId="172" fontId="0" fillId="0" borderId="0" xfId="0" applyNumberFormat="1" applyFont="1" applyFill="1" applyBorder="1" applyAlignment="1">
      <alignment horizontal="center"/>
    </xf>
    <xf numFmtId="4" fontId="0" fillId="0" borderId="0" xfId="44" applyNumberFormat="1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172" fontId="1" fillId="0" borderId="12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19" xfId="0" applyFont="1" applyBorder="1" applyAlignment="1">
      <alignment horizontal="right"/>
    </xf>
    <xf numFmtId="173" fontId="1" fillId="0" borderId="0" xfId="0" applyNumberFormat="1" applyFont="1" applyBorder="1" applyAlignment="1">
      <alignment/>
    </xf>
    <xf numFmtId="190" fontId="1" fillId="0" borderId="0" xfId="0" applyNumberFormat="1" applyFont="1" applyBorder="1" applyAlignment="1" applyProtection="1">
      <alignment/>
      <protection locked="0"/>
    </xf>
    <xf numFmtId="172" fontId="1" fillId="0" borderId="13" xfId="0" applyNumberFormat="1" applyFont="1" applyBorder="1" applyAlignment="1">
      <alignment horizontal="right"/>
    </xf>
    <xf numFmtId="172" fontId="1" fillId="0" borderId="14" xfId="0" applyNumberFormat="1" applyFont="1" applyBorder="1" applyAlignment="1">
      <alignment horizontal="right"/>
    </xf>
    <xf numFmtId="172" fontId="1" fillId="0" borderId="15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3" fontId="2" fillId="0" borderId="11" xfId="0" applyNumberFormat="1" applyFont="1" applyBorder="1" applyAlignment="1">
      <alignment/>
    </xf>
    <xf numFmtId="173" fontId="1" fillId="0" borderId="20" xfId="0" applyNumberFormat="1" applyFont="1" applyBorder="1" applyAlignment="1">
      <alignment/>
    </xf>
    <xf numFmtId="173" fontId="1" fillId="0" borderId="21" xfId="0" applyNumberFormat="1" applyFont="1" applyBorder="1" applyAlignment="1">
      <alignment/>
    </xf>
    <xf numFmtId="173" fontId="1" fillId="0" borderId="22" xfId="0" applyNumberFormat="1" applyFont="1" applyBorder="1" applyAlignment="1">
      <alignment/>
    </xf>
    <xf numFmtId="173" fontId="1" fillId="0" borderId="11" xfId="0" applyNumberFormat="1" applyFont="1" applyBorder="1" applyAlignment="1">
      <alignment/>
    </xf>
    <xf numFmtId="173" fontId="1" fillId="0" borderId="23" xfId="0" applyNumberFormat="1" applyFont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4" fontId="17" fillId="0" borderId="17" xfId="44" applyNumberFormat="1" applyFont="1" applyBorder="1" applyAlignment="1">
      <alignment horizontal="center" vertical="top" wrapText="1"/>
    </xf>
    <xf numFmtId="4" fontId="0" fillId="0" borderId="24" xfId="44" applyNumberFormat="1" applyFont="1" applyBorder="1" applyAlignment="1">
      <alignment/>
    </xf>
    <xf numFmtId="4" fontId="4" fillId="0" borderId="25" xfId="44" applyNumberFormat="1" applyFont="1" applyBorder="1" applyAlignment="1">
      <alignment/>
    </xf>
    <xf numFmtId="4" fontId="0" fillId="0" borderId="26" xfId="44" applyNumberFormat="1" applyFont="1" applyBorder="1" applyAlignment="1">
      <alignment/>
    </xf>
    <xf numFmtId="0" fontId="0" fillId="30" borderId="0" xfId="0" applyFont="1" applyFill="1" applyAlignment="1">
      <alignment/>
    </xf>
    <xf numFmtId="4" fontId="0" fillId="0" borderId="27" xfId="44" applyNumberFormat="1" applyFont="1" applyBorder="1" applyAlignment="1">
      <alignment/>
    </xf>
    <xf numFmtId="4" fontId="0" fillId="0" borderId="28" xfId="44" applyNumberFormat="1" applyFont="1" applyBorder="1" applyAlignment="1">
      <alignment/>
    </xf>
    <xf numFmtId="4" fontId="0" fillId="0" borderId="29" xfId="44" applyNumberFormat="1" applyFont="1" applyBorder="1" applyAlignment="1">
      <alignment/>
    </xf>
    <xf numFmtId="172" fontId="0" fillId="0" borderId="27" xfId="0" applyNumberFormat="1" applyFont="1" applyBorder="1" applyAlignment="1">
      <alignment horizontal="left"/>
    </xf>
    <xf numFmtId="4" fontId="4" fillId="0" borderId="12" xfId="44" applyNumberFormat="1" applyFont="1" applyBorder="1" applyAlignment="1">
      <alignment/>
    </xf>
    <xf numFmtId="4" fontId="0" fillId="0" borderId="30" xfId="44" applyNumberFormat="1" applyFont="1" applyBorder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5" fillId="0" borderId="18" xfId="0" applyNumberFormat="1" applyFont="1" applyBorder="1" applyAlignment="1">
      <alignment/>
    </xf>
    <xf numFmtId="7" fontId="0" fillId="0" borderId="0" xfId="0" applyNumberFormat="1" applyAlignment="1">
      <alignment horizontal="right"/>
    </xf>
    <xf numFmtId="37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172" fontId="0" fillId="0" borderId="27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3" fontId="0" fillId="0" borderId="0" xfId="44" applyNumberFormat="1" applyFont="1" applyFill="1" applyBorder="1" applyAlignment="1" applyProtection="1">
      <alignment/>
      <protection/>
    </xf>
    <xf numFmtId="38" fontId="4" fillId="0" borderId="0" xfId="0" applyNumberFormat="1" applyFont="1" applyAlignment="1">
      <alignment/>
    </xf>
    <xf numFmtId="172" fontId="0" fillId="0" borderId="31" xfId="0" applyNumberFormat="1" applyFont="1" applyFill="1" applyBorder="1" applyAlignment="1">
      <alignment horizontal="right"/>
    </xf>
    <xf numFmtId="0" fontId="5" fillId="0" borderId="32" xfId="0" applyFont="1" applyBorder="1" applyAlignment="1">
      <alignment/>
    </xf>
    <xf numFmtId="0" fontId="5" fillId="0" borderId="29" xfId="0" applyNumberFormat="1" applyFont="1" applyBorder="1" applyAlignment="1">
      <alignment/>
    </xf>
    <xf numFmtId="0" fontId="5" fillId="0" borderId="26" xfId="0" applyNumberFormat="1" applyFont="1" applyBorder="1" applyAlignment="1">
      <alignment/>
    </xf>
    <xf numFmtId="172" fontId="18" fillId="0" borderId="17" xfId="0" applyNumberFormat="1" applyFont="1" applyBorder="1" applyAlignment="1">
      <alignment horizontal="center" vertical="center" wrapText="1"/>
    </xf>
    <xf numFmtId="172" fontId="4" fillId="0" borderId="33" xfId="0" applyNumberFormat="1" applyFont="1" applyBorder="1" applyAlignment="1">
      <alignment horizontal="left"/>
    </xf>
    <xf numFmtId="172" fontId="4" fillId="0" borderId="34" xfId="0" applyNumberFormat="1" applyFont="1" applyBorder="1" applyAlignment="1">
      <alignment horizontal="left"/>
    </xf>
    <xf numFmtId="172" fontId="0" fillId="0" borderId="35" xfId="0" applyNumberFormat="1" applyFont="1" applyBorder="1" applyAlignment="1">
      <alignment horizontal="left"/>
    </xf>
    <xf numFmtId="172" fontId="4" fillId="0" borderId="36" xfId="0" applyNumberFormat="1" applyFont="1" applyBorder="1" applyAlignment="1">
      <alignment horizontal="right"/>
    </xf>
    <xf numFmtId="172" fontId="0" fillId="0" borderId="30" xfId="0" applyNumberFormat="1" applyFont="1" applyBorder="1" applyAlignment="1">
      <alignment horizontal="left"/>
    </xf>
    <xf numFmtId="172" fontId="4" fillId="0" borderId="37" xfId="0" applyNumberFormat="1" applyFont="1" applyBorder="1" applyAlignment="1">
      <alignment horizontal="right"/>
    </xf>
    <xf numFmtId="172" fontId="5" fillId="0" borderId="32" xfId="0" applyNumberFormat="1" applyFont="1" applyBorder="1" applyAlignment="1">
      <alignment/>
    </xf>
    <xf numFmtId="172" fontId="0" fillId="0" borderId="31" xfId="0" applyNumberFormat="1" applyFont="1" applyBorder="1" applyAlignment="1">
      <alignment horizontal="left"/>
    </xf>
    <xf numFmtId="0" fontId="4" fillId="0" borderId="38" xfId="0" applyFont="1" applyBorder="1" applyAlignment="1">
      <alignment/>
    </xf>
    <xf numFmtId="37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 horizontal="left" indent="1"/>
      <protection/>
    </xf>
    <xf numFmtId="0" fontId="0" fillId="0" borderId="0" xfId="0" applyAlignment="1">
      <alignment horizontal="left" indent="1"/>
    </xf>
    <xf numFmtId="39" fontId="4" fillId="0" borderId="0" xfId="0" applyNumberFormat="1" applyFont="1" applyAlignment="1">
      <alignment horizontal="right"/>
    </xf>
    <xf numFmtId="4" fontId="0" fillId="0" borderId="30" xfId="44" applyNumberFormat="1" applyFont="1" applyFill="1" applyBorder="1" applyAlignment="1">
      <alignment/>
    </xf>
    <xf numFmtId="2" fontId="0" fillId="0" borderId="0" xfId="59" applyNumberFormat="1" applyFont="1" applyFill="1" applyBorder="1" applyAlignment="1" applyProtection="1">
      <alignment/>
      <protection/>
    </xf>
    <xf numFmtId="39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172" fontId="0" fillId="0" borderId="34" xfId="0" applyNumberFormat="1" applyFont="1" applyBorder="1" applyAlignment="1">
      <alignment horizontal="left"/>
    </xf>
    <xf numFmtId="2" fontId="0" fillId="0" borderId="0" xfId="59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1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190" fontId="0" fillId="0" borderId="0" xfId="0" applyNumberFormat="1" applyFont="1" applyFill="1" applyBorder="1" applyAlignment="1" applyProtection="1">
      <alignment/>
      <protection/>
    </xf>
    <xf numFmtId="190" fontId="0" fillId="0" borderId="0" xfId="0" applyNumberFormat="1" applyFont="1" applyFill="1" applyBorder="1" applyAlignment="1" applyProtection="1">
      <alignment/>
      <protection/>
    </xf>
    <xf numFmtId="0" fontId="5" fillId="0" borderId="16" xfId="0" applyNumberFormat="1" applyFont="1" applyFill="1" applyBorder="1" applyAlignment="1">
      <alignment/>
    </xf>
    <xf numFmtId="0" fontId="5" fillId="0" borderId="26" xfId="0" applyNumberFormat="1" applyFont="1" applyFill="1" applyBorder="1" applyAlignment="1">
      <alignment/>
    </xf>
    <xf numFmtId="4" fontId="0" fillId="0" borderId="39" xfId="44" applyNumberFormat="1" applyFont="1" applyFill="1" applyBorder="1" applyAlignment="1">
      <alignment/>
    </xf>
    <xf numFmtId="4" fontId="0" fillId="0" borderId="40" xfId="44" applyNumberFormat="1" applyFont="1" applyFill="1" applyBorder="1" applyAlignment="1">
      <alignment/>
    </xf>
    <xf numFmtId="4" fontId="0" fillId="0" borderId="40" xfId="44" applyNumberFormat="1" applyFont="1" applyBorder="1" applyAlignment="1">
      <alignment/>
    </xf>
    <xf numFmtId="4" fontId="4" fillId="0" borderId="41" xfId="44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4" fontId="0" fillId="0" borderId="45" xfId="44" applyNumberFormat="1" applyFont="1" applyBorder="1" applyAlignment="1">
      <alignment/>
    </xf>
    <xf numFmtId="4" fontId="0" fillId="0" borderId="45" xfId="44" applyNumberFormat="1" applyFont="1" applyFill="1" applyBorder="1" applyAlignment="1">
      <alignment/>
    </xf>
    <xf numFmtId="4" fontId="0" fillId="0" borderId="46" xfId="44" applyNumberFormat="1" applyFont="1" applyBorder="1" applyAlignment="1">
      <alignment/>
    </xf>
    <xf numFmtId="4" fontId="0" fillId="0" borderId="47" xfId="44" applyNumberFormat="1" applyFont="1" applyBorder="1" applyAlignment="1">
      <alignment/>
    </xf>
    <xf numFmtId="182" fontId="0" fillId="0" borderId="0" xfId="0" applyNumberFormat="1" applyFill="1" applyBorder="1" applyAlignment="1" applyProtection="1">
      <alignment/>
      <protection/>
    </xf>
    <xf numFmtId="0" fontId="0" fillId="0" borderId="0" xfId="0" applyFill="1" applyAlignment="1">
      <alignment/>
    </xf>
    <xf numFmtId="172" fontId="16" fillId="8" borderId="41" xfId="0" applyNumberFormat="1" applyFont="1" applyFill="1" applyBorder="1" applyAlignment="1">
      <alignment horizontal="center" vertical="center" wrapText="1"/>
    </xf>
    <xf numFmtId="172" fontId="4" fillId="8" borderId="41" xfId="0" applyNumberFormat="1" applyFont="1" applyFill="1" applyBorder="1" applyAlignment="1">
      <alignment horizontal="center" vertical="center" wrapText="1"/>
    </xf>
    <xf numFmtId="172" fontId="4" fillId="8" borderId="17" xfId="0" applyNumberFormat="1" applyFont="1" applyFill="1" applyBorder="1" applyAlignment="1">
      <alignment horizontal="center" vertical="center" wrapText="1"/>
    </xf>
    <xf numFmtId="172" fontId="0" fillId="0" borderId="28" xfId="0" applyNumberFormat="1" applyFont="1" applyFill="1" applyBorder="1" applyAlignment="1">
      <alignment horizontal="center"/>
    </xf>
    <xf numFmtId="172" fontId="2" fillId="8" borderId="48" xfId="0" applyNumberFormat="1" applyFont="1" applyFill="1" applyBorder="1" applyAlignment="1">
      <alignment horizontal="center" vertical="center" wrapText="1"/>
    </xf>
    <xf numFmtId="172" fontId="2" fillId="8" borderId="49" xfId="0" applyNumberFormat="1" applyFont="1" applyFill="1" applyBorder="1" applyAlignment="1">
      <alignment horizontal="center" vertical="center" wrapText="1"/>
    </xf>
    <xf numFmtId="172" fontId="2" fillId="8" borderId="5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3" fontId="4" fillId="0" borderId="51" xfId="0" applyNumberFormat="1" applyFont="1" applyBorder="1" applyAlignment="1">
      <alignment/>
    </xf>
    <xf numFmtId="0" fontId="0" fillId="0" borderId="52" xfId="0" applyFont="1" applyBorder="1" applyAlignment="1">
      <alignment/>
    </xf>
    <xf numFmtId="0" fontId="2" fillId="8" borderId="49" xfId="0" applyFont="1" applyFill="1" applyBorder="1" applyAlignment="1">
      <alignment wrapText="1"/>
    </xf>
    <xf numFmtId="0" fontId="0" fillId="8" borderId="53" xfId="0" applyFill="1" applyBorder="1" applyAlignment="1">
      <alignment/>
    </xf>
    <xf numFmtId="0" fontId="2" fillId="8" borderId="49" xfId="0" applyFont="1" applyFill="1" applyBorder="1" applyAlignment="1">
      <alignment horizontal="center" wrapText="1"/>
    </xf>
    <xf numFmtId="0" fontId="2" fillId="8" borderId="54" xfId="0" applyFont="1" applyFill="1" applyBorder="1" applyAlignment="1">
      <alignment horizontal="center" wrapText="1"/>
    </xf>
    <xf numFmtId="0" fontId="4" fillId="8" borderId="44" xfId="0" applyFont="1" applyFill="1" applyBorder="1" applyAlignment="1">
      <alignment horizontal="center" wrapText="1"/>
    </xf>
    <xf numFmtId="0" fontId="2" fillId="8" borderId="55" xfId="0" applyFont="1" applyFill="1" applyBorder="1" applyAlignment="1">
      <alignment horizontal="center" wrapText="1"/>
    </xf>
    <xf numFmtId="0" fontId="4" fillId="8" borderId="56" xfId="0" applyFont="1" applyFill="1" applyBorder="1" applyAlignment="1">
      <alignment horizontal="center" wrapText="1"/>
    </xf>
    <xf numFmtId="0" fontId="4" fillId="8" borderId="55" xfId="0" applyFont="1" applyFill="1" applyBorder="1" applyAlignment="1">
      <alignment horizontal="center" wrapText="1"/>
    </xf>
    <xf numFmtId="0" fontId="1" fillId="31" borderId="27" xfId="0" applyFont="1" applyFill="1" applyBorder="1" applyAlignment="1">
      <alignment/>
    </xf>
    <xf numFmtId="0" fontId="0" fillId="31" borderId="27" xfId="0" applyFont="1" applyFill="1" applyBorder="1" applyAlignment="1">
      <alignment/>
    </xf>
    <xf numFmtId="0" fontId="9" fillId="31" borderId="27" xfId="0" applyFont="1" applyFill="1" applyBorder="1" applyAlignment="1">
      <alignment/>
    </xf>
    <xf numFmtId="0" fontId="0" fillId="4" borderId="27" xfId="0" applyFill="1" applyBorder="1" applyAlignment="1">
      <alignment/>
    </xf>
    <xf numFmtId="0" fontId="2" fillId="24" borderId="27" xfId="0" applyFont="1" applyFill="1" applyBorder="1" applyAlignment="1">
      <alignment horizontal="right"/>
    </xf>
    <xf numFmtId="0" fontId="2" fillId="24" borderId="27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72" fontId="4" fillId="24" borderId="57" xfId="0" applyNumberFormat="1" applyFont="1" applyFill="1" applyBorder="1" applyAlignment="1">
      <alignment horizontal="left"/>
    </xf>
    <xf numFmtId="173" fontId="2" fillId="0" borderId="11" xfId="0" applyNumberFormat="1" applyFont="1" applyFill="1" applyBorder="1" applyAlignment="1">
      <alignment/>
    </xf>
    <xf numFmtId="173" fontId="1" fillId="0" borderId="11" xfId="0" applyNumberFormat="1" applyFont="1" applyFill="1" applyBorder="1" applyAlignment="1">
      <alignment/>
    </xf>
    <xf numFmtId="173" fontId="1" fillId="0" borderId="23" xfId="0" applyNumberFormat="1" applyFont="1" applyFill="1" applyBorder="1" applyAlignment="1">
      <alignment/>
    </xf>
    <xf numFmtId="172" fontId="2" fillId="0" borderId="13" xfId="0" applyNumberFormat="1" applyFont="1" applyFill="1" applyBorder="1" applyAlignment="1">
      <alignment horizontal="right"/>
    </xf>
    <xf numFmtId="172" fontId="2" fillId="0" borderId="15" xfId="0" applyNumberFormat="1" applyFont="1" applyFill="1" applyBorder="1" applyAlignment="1">
      <alignment horizontal="right"/>
    </xf>
    <xf numFmtId="172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4" fontId="0" fillId="0" borderId="43" xfId="44" applyNumberFormat="1" applyFont="1" applyBorder="1" applyAlignment="1">
      <alignment/>
    </xf>
    <xf numFmtId="4" fontId="0" fillId="0" borderId="58" xfId="44" applyNumberFormat="1" applyFont="1" applyBorder="1" applyAlignment="1">
      <alignment/>
    </xf>
    <xf numFmtId="4" fontId="0" fillId="0" borderId="58" xfId="44" applyNumberFormat="1" applyFont="1" applyFill="1" applyBorder="1" applyAlignment="1">
      <alignment/>
    </xf>
    <xf numFmtId="172" fontId="0" fillId="0" borderId="59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4" fontId="0" fillId="0" borderId="12" xfId="44" applyNumberFormat="1" applyFont="1" applyBorder="1" applyAlignment="1">
      <alignment/>
    </xf>
    <xf numFmtId="0" fontId="0" fillId="0" borderId="60" xfId="0" applyFont="1" applyBorder="1" applyAlignment="1">
      <alignment/>
    </xf>
    <xf numFmtId="4" fontId="0" fillId="0" borderId="61" xfId="44" applyNumberFormat="1" applyFont="1" applyBorder="1" applyAlignment="1">
      <alignment/>
    </xf>
    <xf numFmtId="4" fontId="17" fillId="0" borderId="62" xfId="44" applyNumberFormat="1" applyFont="1" applyBorder="1" applyAlignment="1">
      <alignment horizontal="center" vertical="top" wrapText="1"/>
    </xf>
    <xf numFmtId="0" fontId="0" fillId="0" borderId="63" xfId="0" applyFont="1" applyBorder="1" applyAlignment="1">
      <alignment/>
    </xf>
    <xf numFmtId="172" fontId="4" fillId="24" borderId="64" xfId="0" applyNumberFormat="1" applyFont="1" applyFill="1" applyBorder="1" applyAlignment="1">
      <alignment horizontal="left"/>
    </xf>
    <xf numFmtId="172" fontId="4" fillId="24" borderId="33" xfId="0" applyNumberFormat="1" applyFont="1" applyFill="1" applyBorder="1" applyAlignment="1">
      <alignment horizontal="left"/>
    </xf>
    <xf numFmtId="172" fontId="4" fillId="24" borderId="35" xfId="0" applyNumberFormat="1" applyFont="1" applyFill="1" applyBorder="1" applyAlignment="1">
      <alignment horizontal="left"/>
    </xf>
    <xf numFmtId="172" fontId="4" fillId="24" borderId="34" xfId="0" applyNumberFormat="1" applyFont="1" applyFill="1" applyBorder="1" applyAlignment="1">
      <alignment horizontal="left"/>
    </xf>
    <xf numFmtId="0" fontId="2" fillId="24" borderId="65" xfId="0" applyFont="1" applyFill="1" applyBorder="1" applyAlignment="1">
      <alignment/>
    </xf>
    <xf numFmtId="172" fontId="2" fillId="24" borderId="49" xfId="0" applyNumberFormat="1" applyFont="1" applyFill="1" applyBorder="1" applyAlignment="1">
      <alignment horizontal="center" vertical="center" wrapText="1"/>
    </xf>
    <xf numFmtId="0" fontId="0" fillId="24" borderId="50" xfId="0" applyFill="1" applyBorder="1" applyAlignment="1">
      <alignment/>
    </xf>
    <xf numFmtId="0" fontId="0" fillId="24" borderId="49" xfId="0" applyFill="1" applyBorder="1" applyAlignment="1">
      <alignment/>
    </xf>
    <xf numFmtId="172" fontId="0" fillId="0" borderId="11" xfId="0" applyNumberFormat="1" applyFont="1" applyFill="1" applyBorder="1" applyAlignment="1">
      <alignment horizontal="center"/>
    </xf>
    <xf numFmtId="172" fontId="4" fillId="8" borderId="19" xfId="0" applyNumberFormat="1" applyFont="1" applyFill="1" applyBorder="1" applyAlignment="1">
      <alignment horizontal="center" vertical="center" wrapText="1"/>
    </xf>
    <xf numFmtId="172" fontId="16" fillId="24" borderId="34" xfId="0" applyNumberFormat="1" applyFont="1" applyFill="1" applyBorder="1" applyAlignment="1">
      <alignment horizontal="center" vertical="center"/>
    </xf>
    <xf numFmtId="0" fontId="5" fillId="24" borderId="0" xfId="0" applyFont="1" applyFill="1" applyBorder="1" applyAlignment="1">
      <alignment/>
    </xf>
    <xf numFmtId="0" fontId="0" fillId="24" borderId="66" xfId="0" applyFont="1" applyFill="1" applyBorder="1" applyAlignment="1">
      <alignment/>
    </xf>
    <xf numFmtId="172" fontId="16" fillId="24" borderId="29" xfId="0" applyNumberFormat="1" applyFont="1" applyFill="1" applyBorder="1" applyAlignment="1">
      <alignment horizontal="center" vertical="center" wrapText="1"/>
    </xf>
    <xf numFmtId="172" fontId="5" fillId="24" borderId="67" xfId="0" applyNumberFormat="1" applyFont="1" applyFill="1" applyBorder="1" applyAlignment="1">
      <alignment/>
    </xf>
    <xf numFmtId="172" fontId="0" fillId="24" borderId="0" xfId="0" applyNumberFormat="1" applyFont="1" applyFill="1" applyBorder="1" applyAlignment="1">
      <alignment/>
    </xf>
    <xf numFmtId="172" fontId="0" fillId="0" borderId="68" xfId="0" applyNumberFormat="1" applyFont="1" applyFill="1" applyBorder="1" applyAlignment="1">
      <alignment horizontal="left"/>
    </xf>
    <xf numFmtId="0" fontId="0" fillId="0" borderId="69" xfId="0" applyFont="1" applyBorder="1" applyAlignment="1">
      <alignment/>
    </xf>
    <xf numFmtId="172" fontId="4" fillId="0" borderId="70" xfId="0" applyNumberFormat="1" applyFont="1" applyBorder="1" applyAlignment="1">
      <alignment horizontal="center"/>
    </xf>
    <xf numFmtId="0" fontId="19" fillId="0" borderId="71" xfId="0" applyFont="1" applyBorder="1" applyAlignment="1">
      <alignment horizontal="center"/>
    </xf>
    <xf numFmtId="172" fontId="0" fillId="24" borderId="43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172" fontId="16" fillId="0" borderId="0" xfId="0" applyNumberFormat="1" applyFont="1" applyBorder="1" applyAlignment="1">
      <alignment horizontal="left" vertical="center" wrapText="1"/>
    </xf>
    <xf numFmtId="0" fontId="0" fillId="0" borderId="72" xfId="0" applyBorder="1" applyAlignment="1">
      <alignment horizontal="left"/>
    </xf>
    <xf numFmtId="0" fontId="0" fillId="0" borderId="59" xfId="0" applyBorder="1" applyAlignment="1">
      <alignment horizontal="left"/>
    </xf>
    <xf numFmtId="0" fontId="4" fillId="24" borderId="73" xfId="0" applyFont="1" applyFill="1" applyBorder="1" applyAlignment="1">
      <alignment/>
    </xf>
    <xf numFmtId="0" fontId="0" fillId="24" borderId="56" xfId="0" applyFill="1" applyBorder="1" applyAlignment="1">
      <alignment/>
    </xf>
    <xf numFmtId="0" fontId="22" fillId="0" borderId="0" xfId="0" applyFont="1" applyAlignment="1">
      <alignment/>
    </xf>
    <xf numFmtId="0" fontId="4" fillId="0" borderId="74" xfId="0" applyNumberFormat="1" applyFont="1" applyFill="1" applyBorder="1" applyAlignment="1">
      <alignment horizontal="left" vertical="center"/>
    </xf>
    <xf numFmtId="0" fontId="0" fillId="0" borderId="74" xfId="0" applyFont="1" applyFill="1" applyBorder="1" applyAlignment="1">
      <alignment vertical="center"/>
    </xf>
    <xf numFmtId="0" fontId="0" fillId="0" borderId="72" xfId="0" applyBorder="1" applyAlignment="1">
      <alignment horizontal="center"/>
    </xf>
    <xf numFmtId="0" fontId="0" fillId="0" borderId="59" xfId="0" applyBorder="1" applyAlignment="1">
      <alignment horizontal="center"/>
    </xf>
    <xf numFmtId="0" fontId="4" fillId="24" borderId="75" xfId="0" applyFont="1" applyFill="1" applyBorder="1" applyAlignment="1">
      <alignment horizontal="center"/>
    </xf>
    <xf numFmtId="0" fontId="4" fillId="24" borderId="76" xfId="0" applyFont="1" applyFill="1" applyBorder="1" applyAlignment="1">
      <alignment horizontal="center"/>
    </xf>
    <xf numFmtId="184" fontId="0" fillId="0" borderId="77" xfId="0" applyNumberFormat="1" applyBorder="1" applyAlignment="1">
      <alignment horizontal="center"/>
    </xf>
    <xf numFmtId="184" fontId="0" fillId="0" borderId="78" xfId="0" applyNumberFormat="1" applyBorder="1" applyAlignment="1">
      <alignment horizontal="center"/>
    </xf>
    <xf numFmtId="184" fontId="0" fillId="24" borderId="19" xfId="0" applyNumberFormat="1" applyFill="1" applyBorder="1" applyAlignment="1">
      <alignment horizontal="center"/>
    </xf>
    <xf numFmtId="37" fontId="0" fillId="0" borderId="0" xfId="0" applyNumberFormat="1" applyFill="1" applyAlignment="1">
      <alignment/>
    </xf>
    <xf numFmtId="0" fontId="4" fillId="24" borderId="0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Alignment="1">
      <alignment/>
    </xf>
    <xf numFmtId="0" fontId="0" fillId="8" borderId="0" xfId="0" applyNumberFormat="1" applyFont="1" applyFill="1" applyBorder="1" applyAlignment="1" applyProtection="1">
      <alignment/>
      <protection/>
    </xf>
    <xf numFmtId="0" fontId="0" fillId="8" borderId="0" xfId="0" applyNumberFormat="1" applyFont="1" applyFill="1" applyBorder="1" applyAlignment="1" applyProtection="1">
      <alignment horizontal="center"/>
      <protection/>
    </xf>
    <xf numFmtId="0" fontId="4" fillId="8" borderId="0" xfId="0" applyNumberFormat="1" applyFont="1" applyFill="1" applyBorder="1" applyAlignment="1" applyProtection="1">
      <alignment horizontal="left"/>
      <protection/>
    </xf>
    <xf numFmtId="185" fontId="4" fillId="10" borderId="0" xfId="0" applyNumberFormat="1" applyFont="1" applyFill="1" applyBorder="1" applyAlignment="1" applyProtection="1">
      <alignment horizontal="center"/>
      <protection/>
    </xf>
    <xf numFmtId="4" fontId="0" fillId="8" borderId="0" xfId="0" applyNumberFormat="1" applyFont="1" applyFill="1" applyBorder="1" applyAlignment="1" applyProtection="1">
      <alignment wrapText="1"/>
      <protection/>
    </xf>
    <xf numFmtId="0" fontId="0" fillId="8" borderId="0" xfId="0" applyNumberFormat="1" applyFont="1" applyFill="1" applyBorder="1" applyAlignment="1" applyProtection="1">
      <alignment wrapText="1"/>
      <protection/>
    </xf>
    <xf numFmtId="0" fontId="0" fillId="8" borderId="0" xfId="0" applyFill="1" applyAlignment="1">
      <alignment wrapText="1"/>
    </xf>
    <xf numFmtId="0" fontId="20" fillId="8" borderId="0" xfId="0" applyNumberFormat="1" applyFont="1" applyFill="1" applyBorder="1" applyAlignment="1" applyProtection="1">
      <alignment horizontal="left"/>
      <protection/>
    </xf>
    <xf numFmtId="0" fontId="1" fillId="4" borderId="27" xfId="0" applyFont="1" applyFill="1" applyBorder="1" applyAlignment="1">
      <alignment/>
    </xf>
    <xf numFmtId="172" fontId="2" fillId="0" borderId="14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2" fillId="8" borderId="79" xfId="0" applyNumberFormat="1" applyFont="1" applyFill="1" applyBorder="1" applyAlignment="1">
      <alignment horizontal="center" vertical="center" wrapText="1"/>
    </xf>
    <xf numFmtId="0" fontId="2" fillId="8" borderId="80" xfId="0" applyNumberFormat="1" applyFont="1" applyFill="1" applyBorder="1" applyAlignment="1">
      <alignment horizontal="center" vertical="center" wrapText="1"/>
    </xf>
    <xf numFmtId="172" fontId="2" fillId="8" borderId="80" xfId="0" applyNumberFormat="1" applyFont="1" applyFill="1" applyBorder="1" applyAlignment="1">
      <alignment horizontal="center" vertical="center" wrapText="1"/>
    </xf>
    <xf numFmtId="172" fontId="2" fillId="8" borderId="44" xfId="0" applyNumberFormat="1" applyFont="1" applyFill="1" applyBorder="1" applyAlignment="1">
      <alignment horizontal="center" vertical="center" wrapText="1"/>
    </xf>
    <xf numFmtId="172" fontId="2" fillId="8" borderId="81" xfId="0" applyNumberFormat="1" applyFont="1" applyFill="1" applyBorder="1" applyAlignment="1">
      <alignment horizontal="center" vertical="center" wrapText="1"/>
    </xf>
    <xf numFmtId="173" fontId="2" fillId="0" borderId="23" xfId="0" applyNumberFormat="1" applyFont="1" applyFill="1" applyBorder="1" applyAlignment="1">
      <alignment/>
    </xf>
    <xf numFmtId="172" fontId="16" fillId="0" borderId="17" xfId="0" applyNumberFormat="1" applyFont="1" applyBorder="1" applyAlignment="1">
      <alignment horizontal="center" vertical="center" wrapText="1"/>
    </xf>
    <xf numFmtId="172" fontId="0" fillId="0" borderId="82" xfId="0" applyNumberFormat="1" applyFont="1" applyBorder="1" applyAlignment="1">
      <alignment horizontal="right"/>
    </xf>
    <xf numFmtId="172" fontId="0" fillId="0" borderId="28" xfId="0" applyNumberFormat="1" applyFont="1" applyBorder="1" applyAlignment="1">
      <alignment horizontal="right"/>
    </xf>
    <xf numFmtId="172" fontId="0" fillId="0" borderId="28" xfId="0" applyNumberFormat="1" applyFont="1" applyFill="1" applyBorder="1" applyAlignment="1">
      <alignment horizontal="right"/>
    </xf>
    <xf numFmtId="172" fontId="4" fillId="0" borderId="83" xfId="0" applyNumberFormat="1" applyFont="1" applyBorder="1" applyAlignment="1">
      <alignment horizontal="right"/>
    </xf>
    <xf numFmtId="172" fontId="0" fillId="0" borderId="16" xfId="0" applyNumberFormat="1" applyFont="1" applyFill="1" applyBorder="1" applyAlignment="1">
      <alignment horizontal="right"/>
    </xf>
    <xf numFmtId="172" fontId="0" fillId="0" borderId="16" xfId="0" applyNumberFormat="1" applyFont="1" applyBorder="1" applyAlignment="1">
      <alignment horizontal="right"/>
    </xf>
    <xf numFmtId="172" fontId="0" fillId="0" borderId="24" xfId="0" applyNumberFormat="1" applyFont="1" applyFill="1" applyBorder="1" applyAlignment="1">
      <alignment horizontal="right"/>
    </xf>
    <xf numFmtId="172" fontId="4" fillId="0" borderId="84" xfId="0" applyNumberFormat="1" applyFont="1" applyBorder="1" applyAlignment="1">
      <alignment horizontal="right"/>
    </xf>
    <xf numFmtId="172" fontId="4" fillId="0" borderId="17" xfId="0" applyNumberFormat="1" applyFont="1" applyBorder="1" applyAlignment="1">
      <alignment horizontal="right"/>
    </xf>
    <xf numFmtId="172" fontId="4" fillId="0" borderId="75" xfId="0" applyNumberFormat="1" applyFont="1" applyBorder="1" applyAlignment="1">
      <alignment horizontal="center"/>
    </xf>
    <xf numFmtId="172" fontId="16" fillId="0" borderId="75" xfId="0" applyNumberFormat="1" applyFont="1" applyBorder="1" applyAlignment="1">
      <alignment horizontal="center" vertical="center" wrapText="1"/>
    </xf>
    <xf numFmtId="172" fontId="0" fillId="0" borderId="85" xfId="0" applyNumberFormat="1" applyFont="1" applyBorder="1" applyAlignment="1">
      <alignment horizontal="right"/>
    </xf>
    <xf numFmtId="172" fontId="0" fillId="0" borderId="86" xfId="0" applyNumberFormat="1" applyFont="1" applyBorder="1" applyAlignment="1">
      <alignment horizontal="right"/>
    </xf>
    <xf numFmtId="172" fontId="4" fillId="24" borderId="75" xfId="0" applyNumberFormat="1" applyFont="1" applyFill="1" applyBorder="1" applyAlignment="1">
      <alignment horizontal="right"/>
    </xf>
    <xf numFmtId="172" fontId="4" fillId="0" borderId="87" xfId="0" applyNumberFormat="1" applyFont="1" applyBorder="1" applyAlignment="1">
      <alignment horizontal="center" vertical="center" wrapText="1"/>
    </xf>
    <xf numFmtId="172" fontId="4" fillId="0" borderId="52" xfId="0" applyNumberFormat="1" applyFont="1" applyFill="1" applyBorder="1" applyAlignment="1">
      <alignment horizontal="center" vertical="center" wrapText="1"/>
    </xf>
    <xf numFmtId="172" fontId="4" fillId="24" borderId="65" xfId="0" applyNumberFormat="1" applyFont="1" applyFill="1" applyBorder="1" applyAlignment="1">
      <alignment horizontal="left"/>
    </xf>
    <xf numFmtId="172" fontId="4" fillId="24" borderId="50" xfId="0" applyNumberFormat="1" applyFont="1" applyFill="1" applyBorder="1" applyAlignment="1">
      <alignment horizontal="left"/>
    </xf>
    <xf numFmtId="172" fontId="0" fillId="0" borderId="88" xfId="0" applyNumberFormat="1" applyFont="1" applyBorder="1" applyAlignment="1">
      <alignment/>
    </xf>
    <xf numFmtId="172" fontId="0" fillId="0" borderId="89" xfId="0" applyNumberFormat="1" applyFont="1" applyFill="1" applyBorder="1" applyAlignment="1">
      <alignment/>
    </xf>
    <xf numFmtId="172" fontId="0" fillId="0" borderId="89" xfId="0" applyNumberFormat="1" applyFont="1" applyBorder="1" applyAlignment="1">
      <alignment/>
    </xf>
    <xf numFmtId="172" fontId="0" fillId="0" borderId="90" xfId="0" applyNumberFormat="1" applyFont="1" applyBorder="1" applyAlignment="1">
      <alignment/>
    </xf>
    <xf numFmtId="172" fontId="0" fillId="0" borderId="77" xfId="0" applyNumberFormat="1" applyFont="1" applyBorder="1" applyAlignment="1">
      <alignment/>
    </xf>
    <xf numFmtId="172" fontId="0" fillId="0" borderId="91" xfId="0" applyNumberFormat="1" applyFont="1" applyBorder="1" applyAlignment="1">
      <alignment/>
    </xf>
    <xf numFmtId="172" fontId="0" fillId="0" borderId="92" xfId="0" applyNumberFormat="1" applyFont="1" applyBorder="1" applyAlignment="1">
      <alignment/>
    </xf>
    <xf numFmtId="172" fontId="4" fillId="0" borderId="93" xfId="0" applyNumberFormat="1" applyFont="1" applyFill="1" applyBorder="1" applyAlignment="1">
      <alignment/>
    </xf>
    <xf numFmtId="172" fontId="4" fillId="0" borderId="94" xfId="0" applyNumberFormat="1" applyFont="1" applyFill="1" applyBorder="1" applyAlignment="1">
      <alignment/>
    </xf>
    <xf numFmtId="172" fontId="0" fillId="0" borderId="85" xfId="0" applyNumberFormat="1" applyFont="1" applyBorder="1" applyAlignment="1">
      <alignment/>
    </xf>
    <xf numFmtId="172" fontId="0" fillId="0" borderId="95" xfId="0" applyNumberFormat="1" applyFont="1" applyFill="1" applyBorder="1" applyAlignment="1">
      <alignment/>
    </xf>
    <xf numFmtId="172" fontId="0" fillId="0" borderId="96" xfId="0" applyNumberFormat="1" applyFont="1" applyBorder="1" applyAlignment="1">
      <alignment horizontal="center"/>
    </xf>
    <xf numFmtId="172" fontId="0" fillId="0" borderId="97" xfId="0" applyNumberFormat="1" applyFont="1" applyBorder="1" applyAlignment="1">
      <alignment/>
    </xf>
    <xf numFmtId="172" fontId="0" fillId="0" borderId="86" xfId="0" applyNumberFormat="1" applyFont="1" applyFill="1" applyBorder="1" applyAlignment="1">
      <alignment/>
    </xf>
    <xf numFmtId="172" fontId="0" fillId="0" borderId="92" xfId="0" applyNumberFormat="1" applyFont="1" applyFill="1" applyBorder="1" applyAlignment="1">
      <alignment/>
    </xf>
    <xf numFmtId="172" fontId="0" fillId="0" borderId="96" xfId="0" applyNumberFormat="1" applyFont="1" applyBorder="1" applyAlignment="1">
      <alignment/>
    </xf>
    <xf numFmtId="172" fontId="0" fillId="0" borderId="86" xfId="0" applyNumberFormat="1" applyFont="1" applyBorder="1" applyAlignment="1">
      <alignment/>
    </xf>
    <xf numFmtId="172" fontId="0" fillId="0" borderId="98" xfId="0" applyNumberFormat="1" applyFont="1" applyFill="1" applyBorder="1" applyAlignment="1">
      <alignment/>
    </xf>
    <xf numFmtId="172" fontId="0" fillId="0" borderId="58" xfId="0" applyNumberFormat="1" applyFont="1" applyFill="1" applyBorder="1" applyAlignment="1">
      <alignment/>
    </xf>
    <xf numFmtId="172" fontId="4" fillId="0" borderId="99" xfId="0" applyNumberFormat="1" applyFont="1" applyBorder="1" applyAlignment="1">
      <alignment/>
    </xf>
    <xf numFmtId="172" fontId="4" fillId="0" borderId="100" xfId="0" applyNumberFormat="1" applyFont="1" applyBorder="1" applyAlignment="1">
      <alignment/>
    </xf>
    <xf numFmtId="172" fontId="4" fillId="24" borderId="101" xfId="0" applyNumberFormat="1" applyFont="1" applyFill="1" applyBorder="1" applyAlignment="1">
      <alignment horizontal="left"/>
    </xf>
    <xf numFmtId="172" fontId="4" fillId="24" borderId="20" xfId="0" applyNumberFormat="1" applyFont="1" applyFill="1" applyBorder="1" applyAlignment="1">
      <alignment horizontal="left"/>
    </xf>
    <xf numFmtId="172" fontId="0" fillId="0" borderId="97" xfId="0" applyNumberFormat="1" applyFont="1" applyBorder="1" applyAlignment="1">
      <alignment horizontal="center"/>
    </xf>
    <xf numFmtId="172" fontId="0" fillId="0" borderId="88" xfId="0" applyNumberFormat="1" applyFont="1" applyBorder="1" applyAlignment="1">
      <alignment horizontal="center"/>
    </xf>
    <xf numFmtId="172" fontId="0" fillId="0" borderId="89" xfId="0" applyNumberFormat="1" applyFont="1" applyBorder="1" applyAlignment="1">
      <alignment horizontal="center"/>
    </xf>
    <xf numFmtId="172" fontId="4" fillId="0" borderId="93" xfId="0" applyNumberFormat="1" applyFont="1" applyBorder="1" applyAlignment="1">
      <alignment/>
    </xf>
    <xf numFmtId="172" fontId="4" fillId="0" borderId="94" xfId="0" applyNumberFormat="1" applyFont="1" applyBorder="1" applyAlignment="1">
      <alignment/>
    </xf>
    <xf numFmtId="172" fontId="4" fillId="0" borderId="102" xfId="0" applyNumberFormat="1" applyFont="1" applyFill="1" applyBorder="1" applyAlignment="1">
      <alignment horizontal="center"/>
    </xf>
    <xf numFmtId="172" fontId="4" fillId="0" borderId="103" xfId="0" applyNumberFormat="1" applyFont="1" applyFill="1" applyBorder="1" applyAlignment="1">
      <alignment horizontal="center"/>
    </xf>
    <xf numFmtId="172" fontId="4" fillId="0" borderId="72" xfId="0" applyNumberFormat="1" applyFont="1" applyBorder="1" applyAlignment="1">
      <alignment/>
    </xf>
    <xf numFmtId="172" fontId="4" fillId="0" borderId="77" xfId="0" applyNumberFormat="1" applyFont="1" applyBorder="1" applyAlignment="1">
      <alignment/>
    </xf>
    <xf numFmtId="172" fontId="4" fillId="0" borderId="75" xfId="0" applyNumberFormat="1" applyFont="1" applyFill="1" applyBorder="1" applyAlignment="1">
      <alignment/>
    </xf>
    <xf numFmtId="172" fontId="4" fillId="0" borderId="52" xfId="0" applyNumberFormat="1" applyFont="1" applyFill="1" applyBorder="1" applyAlignment="1">
      <alignment/>
    </xf>
    <xf numFmtId="172" fontId="0" fillId="0" borderId="72" xfId="0" applyNumberFormat="1" applyFont="1" applyBorder="1" applyAlignment="1">
      <alignment/>
    </xf>
    <xf numFmtId="172" fontId="4" fillId="0" borderId="52" xfId="0" applyNumberFormat="1" applyFont="1" applyBorder="1" applyAlignment="1">
      <alignment horizontal="center" vertical="center" wrapText="1"/>
    </xf>
    <xf numFmtId="172" fontId="0" fillId="0" borderId="72" xfId="0" applyNumberFormat="1" applyFont="1" applyFill="1" applyBorder="1" applyAlignment="1">
      <alignment/>
    </xf>
    <xf numFmtId="172" fontId="0" fillId="0" borderId="61" xfId="0" applyNumberFormat="1" applyFont="1" applyFill="1" applyBorder="1" applyAlignment="1">
      <alignment/>
    </xf>
    <xf numFmtId="0" fontId="0" fillId="0" borderId="59" xfId="0" applyFont="1" applyBorder="1" applyAlignment="1">
      <alignment/>
    </xf>
    <xf numFmtId="0" fontId="0" fillId="0" borderId="78" xfId="0" applyFont="1" applyBorder="1" applyAlignment="1">
      <alignment/>
    </xf>
    <xf numFmtId="172" fontId="4" fillId="24" borderId="87" xfId="0" applyNumberFormat="1" applyFont="1" applyFill="1" applyBorder="1" applyAlignment="1">
      <alignment horizontal="center"/>
    </xf>
    <xf numFmtId="172" fontId="4" fillId="24" borderId="52" xfId="0" applyNumberFormat="1" applyFont="1" applyFill="1" applyBorder="1" applyAlignment="1">
      <alignment horizontal="center"/>
    </xf>
    <xf numFmtId="172" fontId="4" fillId="0" borderId="87" xfId="0" applyNumberFormat="1" applyFont="1" applyFill="1" applyBorder="1" applyAlignment="1">
      <alignment horizontal="center" vertical="center" wrapText="1"/>
    </xf>
    <xf numFmtId="172" fontId="0" fillId="0" borderId="88" xfId="0" applyNumberFormat="1" applyFont="1" applyFill="1" applyBorder="1" applyAlignment="1">
      <alignment/>
    </xf>
    <xf numFmtId="172" fontId="0" fillId="0" borderId="96" xfId="0" applyNumberFormat="1" applyFont="1" applyFill="1" applyBorder="1" applyAlignment="1">
      <alignment/>
    </xf>
    <xf numFmtId="172" fontId="0" fillId="0" borderId="104" xfId="0" applyNumberFormat="1" applyFont="1" applyFill="1" applyBorder="1" applyAlignment="1">
      <alignment/>
    </xf>
    <xf numFmtId="172" fontId="0" fillId="0" borderId="77" xfId="0" applyNumberFormat="1" applyFont="1" applyFill="1" applyBorder="1" applyAlignment="1">
      <alignment/>
    </xf>
    <xf numFmtId="172" fontId="0" fillId="0" borderId="91" xfId="0" applyNumberFormat="1" applyFont="1" applyFill="1" applyBorder="1" applyAlignment="1">
      <alignment/>
    </xf>
    <xf numFmtId="172" fontId="4" fillId="0" borderId="105" xfId="0" applyNumberFormat="1" applyFont="1" applyFill="1" applyBorder="1" applyAlignment="1">
      <alignment/>
    </xf>
    <xf numFmtId="172" fontId="4" fillId="0" borderId="106" xfId="0" applyNumberFormat="1" applyFont="1" applyFill="1" applyBorder="1" applyAlignment="1">
      <alignment/>
    </xf>
    <xf numFmtId="172" fontId="0" fillId="0" borderId="85" xfId="0" applyNumberFormat="1" applyFont="1" applyFill="1" applyBorder="1" applyAlignment="1">
      <alignment/>
    </xf>
    <xf numFmtId="172" fontId="4" fillId="0" borderId="99" xfId="0" applyNumberFormat="1" applyFont="1" applyFill="1" applyBorder="1" applyAlignment="1">
      <alignment/>
    </xf>
    <xf numFmtId="172" fontId="0" fillId="0" borderId="96" xfId="0" applyNumberFormat="1" applyFont="1" applyFill="1" applyBorder="1" applyAlignment="1">
      <alignment horizontal="center"/>
    </xf>
    <xf numFmtId="172" fontId="0" fillId="0" borderId="97" xfId="0" applyNumberFormat="1" applyFont="1" applyFill="1" applyBorder="1" applyAlignment="1">
      <alignment/>
    </xf>
    <xf numFmtId="172" fontId="0" fillId="0" borderId="90" xfId="0" applyNumberFormat="1" applyFont="1" applyFill="1" applyBorder="1" applyAlignment="1">
      <alignment/>
    </xf>
    <xf numFmtId="172" fontId="0" fillId="0" borderId="97" xfId="0" applyNumberFormat="1" applyFont="1" applyFill="1" applyBorder="1" applyAlignment="1">
      <alignment horizontal="center"/>
    </xf>
    <xf numFmtId="172" fontId="4" fillId="0" borderId="107" xfId="0" applyNumberFormat="1" applyFont="1" applyFill="1" applyBorder="1" applyAlignment="1">
      <alignment horizontal="center"/>
    </xf>
    <xf numFmtId="0" fontId="0" fillId="0" borderId="59" xfId="0" applyFont="1" applyFill="1" applyBorder="1" applyAlignment="1">
      <alignment/>
    </xf>
    <xf numFmtId="172" fontId="0" fillId="0" borderId="89" xfId="0" applyNumberFormat="1" applyFont="1" applyFill="1" applyBorder="1" applyAlignment="1">
      <alignment horizontal="center"/>
    </xf>
    <xf numFmtId="172" fontId="0" fillId="0" borderId="108" xfId="0" applyNumberFormat="1" applyFont="1" applyBorder="1" applyAlignment="1">
      <alignment/>
    </xf>
    <xf numFmtId="172" fontId="0" fillId="0" borderId="108" xfId="0" applyNumberFormat="1" applyFont="1" applyFill="1" applyBorder="1" applyAlignment="1">
      <alignment/>
    </xf>
    <xf numFmtId="172" fontId="4" fillId="0" borderId="100" xfId="0" applyNumberFormat="1" applyFont="1" applyFill="1" applyBorder="1" applyAlignment="1">
      <alignment/>
    </xf>
    <xf numFmtId="172" fontId="4" fillId="0" borderId="72" xfId="0" applyNumberFormat="1" applyFont="1" applyFill="1" applyBorder="1" applyAlignment="1">
      <alignment/>
    </xf>
    <xf numFmtId="172" fontId="4" fillId="0" borderId="77" xfId="0" applyNumberFormat="1" applyFont="1" applyFill="1" applyBorder="1" applyAlignment="1">
      <alignment/>
    </xf>
    <xf numFmtId="172" fontId="0" fillId="32" borderId="30" xfId="0" applyNumberFormat="1" applyFont="1" applyFill="1" applyBorder="1" applyAlignment="1">
      <alignment horizontal="left"/>
    </xf>
    <xf numFmtId="0" fontId="5" fillId="32" borderId="29" xfId="0" applyNumberFormat="1" applyFont="1" applyFill="1" applyBorder="1" applyAlignment="1">
      <alignment/>
    </xf>
    <xf numFmtId="172" fontId="4" fillId="32" borderId="27" xfId="0" applyNumberFormat="1" applyFont="1" applyFill="1" applyBorder="1" applyAlignment="1">
      <alignment horizontal="center"/>
    </xf>
    <xf numFmtId="172" fontId="0" fillId="32" borderId="28" xfId="0" applyNumberFormat="1" applyFont="1" applyFill="1" applyBorder="1" applyAlignment="1">
      <alignment horizontal="center"/>
    </xf>
    <xf numFmtId="172" fontId="0" fillId="32" borderId="27" xfId="0" applyNumberFormat="1" applyFont="1" applyFill="1" applyBorder="1" applyAlignment="1">
      <alignment horizontal="center"/>
    </xf>
    <xf numFmtId="0" fontId="4" fillId="0" borderId="109" xfId="0" applyFont="1" applyFill="1" applyBorder="1" applyAlignment="1">
      <alignment/>
    </xf>
    <xf numFmtId="0" fontId="0" fillId="0" borderId="0" xfId="0" applyFill="1" applyAlignment="1" quotePrefix="1">
      <alignment/>
    </xf>
    <xf numFmtId="0" fontId="0" fillId="0" borderId="0" xfId="0" applyAlignment="1">
      <alignment horizontal="center"/>
    </xf>
    <xf numFmtId="194" fontId="0" fillId="0" borderId="0" xfId="0" applyNumberFormat="1" applyAlignment="1">
      <alignment horizontal="left"/>
    </xf>
    <xf numFmtId="177" fontId="0" fillId="0" borderId="0" xfId="0" applyNumberFormat="1" applyAlignment="1">
      <alignment/>
    </xf>
    <xf numFmtId="0" fontId="4" fillId="24" borderId="0" xfId="0" applyFont="1" applyFill="1" applyAlignment="1">
      <alignment horizontal="left"/>
    </xf>
    <xf numFmtId="0" fontId="4" fillId="24" borderId="0" xfId="0" applyFont="1" applyFill="1" applyAlignment="1">
      <alignment horizontal="center"/>
    </xf>
    <xf numFmtId="194" fontId="0" fillId="24" borderId="0" xfId="0" applyNumberFormat="1" applyFill="1" applyAlignment="1">
      <alignment horizontal="left"/>
    </xf>
    <xf numFmtId="0" fontId="0" fillId="24" borderId="0" xfId="0" applyFill="1" applyAlignment="1">
      <alignment horizontal="left"/>
    </xf>
    <xf numFmtId="0" fontId="4" fillId="24" borderId="0" xfId="0" applyFont="1" applyFill="1" applyAlignment="1">
      <alignment horizontal="right"/>
    </xf>
    <xf numFmtId="194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177" fontId="4" fillId="24" borderId="0" xfId="0" applyNumberFormat="1" applyFont="1" applyFill="1" applyAlignment="1">
      <alignment horizontal="center"/>
    </xf>
    <xf numFmtId="172" fontId="0" fillId="0" borderId="0" xfId="0" applyNumberFormat="1" applyAlignment="1">
      <alignment/>
    </xf>
    <xf numFmtId="195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172" fontId="4" fillId="0" borderId="110" xfId="0" applyNumberFormat="1" applyFont="1" applyBorder="1" applyAlignment="1">
      <alignment horizontal="center"/>
    </xf>
    <xf numFmtId="172" fontId="4" fillId="0" borderId="110" xfId="0" applyNumberFormat="1" applyFont="1" applyFill="1" applyBorder="1" applyAlignment="1">
      <alignment/>
    </xf>
    <xf numFmtId="172" fontId="4" fillId="0" borderId="111" xfId="0" applyNumberFormat="1" applyFont="1" applyFill="1" applyBorder="1" applyAlignment="1">
      <alignment/>
    </xf>
    <xf numFmtId="4" fontId="0" fillId="0" borderId="112" xfId="44" applyNumberFormat="1" applyFont="1" applyBorder="1" applyAlignment="1">
      <alignment/>
    </xf>
    <xf numFmtId="0" fontId="0" fillId="0" borderId="111" xfId="0" applyFont="1" applyBorder="1" applyAlignment="1">
      <alignment/>
    </xf>
    <xf numFmtId="172" fontId="0" fillId="0" borderId="59" xfId="0" applyNumberFormat="1" applyFont="1" applyFill="1" applyBorder="1" applyAlignment="1">
      <alignment horizontal="right"/>
    </xf>
    <xf numFmtId="172" fontId="0" fillId="0" borderId="59" xfId="0" applyNumberFormat="1" applyFont="1" applyFill="1" applyBorder="1" applyAlignment="1">
      <alignment/>
    </xf>
    <xf numFmtId="172" fontId="0" fillId="0" borderId="113" xfId="0" applyNumberFormat="1" applyFont="1" applyFill="1" applyBorder="1" applyAlignment="1">
      <alignment/>
    </xf>
    <xf numFmtId="4" fontId="0" fillId="0" borderId="114" xfId="44" applyNumberFormat="1" applyFont="1" applyBorder="1" applyAlignment="1">
      <alignment/>
    </xf>
    <xf numFmtId="0" fontId="5" fillId="0" borderId="114" xfId="0" applyNumberFormat="1" applyFont="1" applyFill="1" applyBorder="1" applyAlignment="1">
      <alignment/>
    </xf>
    <xf numFmtId="0" fontId="5" fillId="0" borderId="71" xfId="0" applyNumberFormat="1" applyFont="1" applyFill="1" applyBorder="1" applyAlignment="1">
      <alignment/>
    </xf>
    <xf numFmtId="172" fontId="5" fillId="0" borderId="12" xfId="0" applyNumberFormat="1" applyFont="1" applyBorder="1" applyAlignment="1">
      <alignment/>
    </xf>
    <xf numFmtId="4" fontId="0" fillId="0" borderId="115" xfId="44" applyNumberFormat="1" applyFont="1" applyFill="1" applyBorder="1" applyAlignment="1">
      <alignment/>
    </xf>
    <xf numFmtId="172" fontId="0" fillId="0" borderId="73" xfId="0" applyNumberFormat="1" applyFont="1" applyFill="1" applyBorder="1" applyAlignment="1">
      <alignment/>
    </xf>
    <xf numFmtId="172" fontId="0" fillId="0" borderId="56" xfId="0" applyNumberFormat="1" applyFont="1" applyFill="1" applyBorder="1" applyAlignment="1">
      <alignment/>
    </xf>
    <xf numFmtId="172" fontId="0" fillId="0" borderId="116" xfId="0" applyNumberFormat="1" applyFont="1" applyFill="1" applyBorder="1" applyAlignment="1">
      <alignment/>
    </xf>
    <xf numFmtId="0" fontId="0" fillId="0" borderId="78" xfId="0" applyFont="1" applyFill="1" applyBorder="1" applyAlignment="1">
      <alignment/>
    </xf>
    <xf numFmtId="172" fontId="4" fillId="33" borderId="87" xfId="0" applyNumberFormat="1" applyFont="1" applyFill="1" applyBorder="1" applyAlignment="1">
      <alignment horizontal="center"/>
    </xf>
    <xf numFmtId="172" fontId="4" fillId="33" borderId="52" xfId="0" applyNumberFormat="1" applyFont="1" applyFill="1" applyBorder="1" applyAlignment="1">
      <alignment horizontal="center"/>
    </xf>
    <xf numFmtId="4" fontId="17" fillId="0" borderId="25" xfId="44" applyNumberFormat="1" applyFont="1" applyBorder="1" applyAlignment="1">
      <alignment horizontal="center" vertical="top" wrapText="1"/>
    </xf>
    <xf numFmtId="4" fontId="0" fillId="0" borderId="117" xfId="44" applyNumberFormat="1" applyFont="1" applyBorder="1" applyAlignment="1">
      <alignment/>
    </xf>
    <xf numFmtId="4" fontId="0" fillId="0" borderId="118" xfId="44" applyNumberFormat="1" applyFont="1" applyBorder="1" applyAlignment="1">
      <alignment/>
    </xf>
    <xf numFmtId="4" fontId="0" fillId="0" borderId="118" xfId="44" applyNumberFormat="1" applyFont="1" applyFill="1" applyBorder="1" applyAlignment="1">
      <alignment/>
    </xf>
    <xf numFmtId="4" fontId="4" fillId="0" borderId="119" xfId="44" applyNumberFormat="1" applyFont="1" applyBorder="1" applyAlignment="1">
      <alignment/>
    </xf>
    <xf numFmtId="43" fontId="4" fillId="0" borderId="74" xfId="0" applyNumberFormat="1" applyFont="1" applyBorder="1" applyAlignment="1">
      <alignment/>
    </xf>
    <xf numFmtId="4" fontId="17" fillId="0" borderId="120" xfId="44" applyNumberFormat="1" applyFont="1" applyBorder="1" applyAlignment="1">
      <alignment horizontal="center" vertical="top" wrapText="1"/>
    </xf>
    <xf numFmtId="4" fontId="0" fillId="0" borderId="121" xfId="44" applyNumberFormat="1" applyFont="1" applyBorder="1" applyAlignment="1">
      <alignment/>
    </xf>
    <xf numFmtId="4" fontId="0" fillId="0" borderId="71" xfId="44" applyNumberFormat="1" applyFont="1" applyBorder="1" applyAlignment="1">
      <alignment/>
    </xf>
    <xf numFmtId="4" fontId="0" fillId="0" borderId="122" xfId="44" applyNumberFormat="1" applyFont="1" applyBorder="1" applyAlignment="1">
      <alignment/>
    </xf>
    <xf numFmtId="4" fontId="4" fillId="0" borderId="77" xfId="44" applyNumberFormat="1" applyFont="1" applyBorder="1" applyAlignment="1">
      <alignment/>
    </xf>
    <xf numFmtId="4" fontId="0" fillId="0" borderId="77" xfId="44" applyNumberFormat="1" applyFont="1" applyBorder="1" applyAlignment="1">
      <alignment/>
    </xf>
    <xf numFmtId="4" fontId="0" fillId="0" borderId="78" xfId="44" applyNumberFormat="1" applyFont="1" applyBorder="1" applyAlignment="1">
      <alignment/>
    </xf>
    <xf numFmtId="172" fontId="0" fillId="0" borderId="123" xfId="0" applyNumberFormat="1" applyFont="1" applyFill="1" applyBorder="1" applyAlignment="1">
      <alignment/>
    </xf>
    <xf numFmtId="172" fontId="0" fillId="0" borderId="124" xfId="0" applyNumberFormat="1" applyFont="1" applyFill="1" applyBorder="1" applyAlignment="1">
      <alignment/>
    </xf>
    <xf numFmtId="172" fontId="0" fillId="0" borderId="125" xfId="0" applyNumberFormat="1" applyFont="1" applyFill="1" applyBorder="1" applyAlignment="1">
      <alignment/>
    </xf>
    <xf numFmtId="172" fontId="0" fillId="0" borderId="126" xfId="0" applyNumberFormat="1" applyFont="1" applyFill="1" applyBorder="1" applyAlignment="1">
      <alignment/>
    </xf>
    <xf numFmtId="172" fontId="4" fillId="0" borderId="127" xfId="0" applyNumberFormat="1" applyFont="1" applyFill="1" applyBorder="1" applyAlignment="1">
      <alignment/>
    </xf>
    <xf numFmtId="172" fontId="4" fillId="0" borderId="128" xfId="0" applyNumberFormat="1" applyFont="1" applyFill="1" applyBorder="1" applyAlignment="1">
      <alignment/>
    </xf>
    <xf numFmtId="0" fontId="0" fillId="0" borderId="0" xfId="0" applyNumberFormat="1" applyFill="1" applyBorder="1" applyAlignment="1" applyProtection="1">
      <alignment horizontal="left" indent="1"/>
      <protection/>
    </xf>
    <xf numFmtId="0" fontId="0" fillId="0" borderId="0" xfId="0" applyFont="1" applyAlignment="1" quotePrefix="1">
      <alignment/>
    </xf>
    <xf numFmtId="172" fontId="0" fillId="0" borderId="115" xfId="0" applyNumberFormat="1" applyFont="1" applyFill="1" applyBorder="1" applyAlignment="1">
      <alignment/>
    </xf>
    <xf numFmtId="0" fontId="4" fillId="0" borderId="75" xfId="0" applyFont="1" applyBorder="1" applyAlignment="1">
      <alignment horizontal="right"/>
    </xf>
    <xf numFmtId="0" fontId="4" fillId="0" borderId="74" xfId="0" applyFont="1" applyBorder="1" applyAlignment="1">
      <alignment/>
    </xf>
    <xf numFmtId="0" fontId="4" fillId="0" borderId="76" xfId="0" applyFont="1" applyBorder="1" applyAlignment="1">
      <alignment horizontal="center"/>
    </xf>
    <xf numFmtId="0" fontId="4" fillId="34" borderId="73" xfId="0" applyFont="1" applyFill="1" applyBorder="1" applyAlignment="1">
      <alignment/>
    </xf>
    <xf numFmtId="0" fontId="0" fillId="34" borderId="69" xfId="0" applyFont="1" applyFill="1" applyBorder="1" applyAlignment="1">
      <alignment/>
    </xf>
    <xf numFmtId="177" fontId="0" fillId="34" borderId="56" xfId="0" applyNumberFormat="1" applyFont="1" applyFill="1" applyBorder="1" applyAlignment="1">
      <alignment horizontal="center"/>
    </xf>
    <xf numFmtId="0" fontId="4" fillId="34" borderId="59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177" fontId="0" fillId="34" borderId="78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8" fontId="0" fillId="0" borderId="0" xfId="0" applyNumberFormat="1" applyFill="1" applyAlignment="1">
      <alignment/>
    </xf>
    <xf numFmtId="19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77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172" fontId="4" fillId="0" borderId="129" xfId="0" applyNumberFormat="1" applyFont="1" applyFill="1" applyBorder="1" applyAlignment="1">
      <alignment horizontal="center"/>
    </xf>
    <xf numFmtId="172" fontId="4" fillId="0" borderId="130" xfId="0" applyNumberFormat="1" applyFont="1" applyFill="1" applyBorder="1" applyAlignment="1">
      <alignment/>
    </xf>
    <xf numFmtId="172" fontId="4" fillId="0" borderId="63" xfId="0" applyNumberFormat="1" applyFont="1" applyFill="1" applyBorder="1" applyAlignment="1">
      <alignment/>
    </xf>
    <xf numFmtId="172" fontId="4" fillId="0" borderId="131" xfId="0" applyNumberFormat="1" applyFont="1" applyFill="1" applyBorder="1" applyAlignment="1">
      <alignment/>
    </xf>
    <xf numFmtId="172" fontId="4" fillId="0" borderId="132" xfId="0" applyNumberFormat="1" applyFont="1" applyFill="1" applyBorder="1" applyAlignment="1">
      <alignment/>
    </xf>
    <xf numFmtId="172" fontId="4" fillId="33" borderId="130" xfId="0" applyNumberFormat="1" applyFont="1" applyFill="1" applyBorder="1" applyAlignment="1">
      <alignment horizontal="center"/>
    </xf>
    <xf numFmtId="172" fontId="4" fillId="33" borderId="63" xfId="0" applyNumberFormat="1" applyFont="1" applyFill="1" applyBorder="1" applyAlignment="1">
      <alignment horizontal="center"/>
    </xf>
    <xf numFmtId="0" fontId="4" fillId="0" borderId="130" xfId="0" applyNumberFormat="1" applyFont="1" applyFill="1" applyBorder="1" applyAlignment="1">
      <alignment horizontal="left" wrapText="1"/>
    </xf>
    <xf numFmtId="172" fontId="0" fillId="0" borderId="21" xfId="0" applyNumberFormat="1" applyFont="1" applyFill="1" applyBorder="1" applyAlignment="1">
      <alignment/>
    </xf>
    <xf numFmtId="172" fontId="0" fillId="0" borderId="133" xfId="0" applyNumberFormat="1" applyFont="1" applyFill="1" applyBorder="1" applyAlignment="1">
      <alignment/>
    </xf>
    <xf numFmtId="172" fontId="0" fillId="0" borderId="134" xfId="0" applyNumberFormat="1" applyFont="1" applyFill="1" applyBorder="1" applyAlignment="1">
      <alignment/>
    </xf>
    <xf numFmtId="172" fontId="0" fillId="0" borderId="135" xfId="0" applyNumberFormat="1" applyFont="1" applyFill="1" applyBorder="1" applyAlignment="1">
      <alignment/>
    </xf>
    <xf numFmtId="172" fontId="0" fillId="0" borderId="136" xfId="0" applyNumberFormat="1" applyFont="1" applyFill="1" applyBorder="1" applyAlignment="1">
      <alignment/>
    </xf>
    <xf numFmtId="172" fontId="0" fillId="0" borderId="137" xfId="0" applyNumberFormat="1" applyFont="1" applyFill="1" applyBorder="1" applyAlignment="1">
      <alignment/>
    </xf>
    <xf numFmtId="172" fontId="0" fillId="0" borderId="21" xfId="0" applyNumberFormat="1" applyFont="1" applyFill="1" applyBorder="1" applyAlignment="1">
      <alignment horizontal="center"/>
    </xf>
    <xf numFmtId="4" fontId="0" fillId="0" borderId="0" xfId="44" applyNumberFormat="1" applyFont="1" applyFill="1" applyAlignment="1">
      <alignment/>
    </xf>
    <xf numFmtId="4" fontId="0" fillId="0" borderId="0" xfId="0" applyNumberFormat="1" applyFill="1" applyBorder="1" applyAlignment="1" applyProtection="1">
      <alignment/>
      <protection/>
    </xf>
    <xf numFmtId="172" fontId="0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 applyAlignment="1">
      <alignment/>
    </xf>
    <xf numFmtId="9" fontId="0" fillId="0" borderId="0" xfId="59" applyFont="1" applyFill="1" applyAlignment="1">
      <alignment/>
    </xf>
    <xf numFmtId="172" fontId="0" fillId="0" borderId="98" xfId="0" applyNumberFormat="1" applyFont="1" applyBorder="1" applyAlignment="1">
      <alignment/>
    </xf>
    <xf numFmtId="172" fontId="0" fillId="0" borderId="58" xfId="0" applyNumberFormat="1" applyFont="1" applyBorder="1" applyAlignment="1">
      <alignment/>
    </xf>
    <xf numFmtId="172" fontId="0" fillId="0" borderId="104" xfId="0" applyNumberFormat="1" applyFont="1" applyBorder="1" applyAlignment="1">
      <alignment/>
    </xf>
    <xf numFmtId="172" fontId="0" fillId="0" borderId="138" xfId="0" applyNumberFormat="1" applyFont="1" applyBorder="1" applyAlignment="1">
      <alignment/>
    </xf>
    <xf numFmtId="172" fontId="0" fillId="0" borderId="138" xfId="0" applyNumberFormat="1" applyFont="1" applyFill="1" applyBorder="1" applyAlignment="1">
      <alignment/>
    </xf>
    <xf numFmtId="4" fontId="0" fillId="0" borderId="38" xfId="44" applyNumberFormat="1" applyFont="1" applyBorder="1" applyAlignment="1">
      <alignment/>
    </xf>
    <xf numFmtId="4" fontId="0" fillId="0" borderId="139" xfId="44" applyNumberFormat="1" applyFont="1" applyFill="1" applyBorder="1" applyAlignment="1">
      <alignment/>
    </xf>
    <xf numFmtId="0" fontId="0" fillId="0" borderId="0" xfId="0" applyFont="1" applyAlignment="1">
      <alignment wrapText="1"/>
    </xf>
    <xf numFmtId="4" fontId="0" fillId="0" borderId="0" xfId="44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10" fontId="0" fillId="0" borderId="0" xfId="0" applyNumberFormat="1" applyFont="1" applyFill="1" applyBorder="1" applyAlignment="1" applyProtection="1">
      <alignment horizontal="center"/>
      <protection/>
    </xf>
    <xf numFmtId="184" fontId="0" fillId="0" borderId="0" xfId="0" applyNumberFormat="1" applyFont="1" applyBorder="1" applyAlignment="1">
      <alignment horizontal="right"/>
    </xf>
    <xf numFmtId="184" fontId="0" fillId="0" borderId="0" xfId="0" applyNumberFormat="1" applyBorder="1" applyAlignment="1">
      <alignment/>
    </xf>
    <xf numFmtId="184" fontId="0" fillId="0" borderId="0" xfId="0" applyNumberFormat="1" applyFont="1" applyFill="1" applyBorder="1" applyAlignment="1" applyProtection="1">
      <alignment/>
      <protection/>
    </xf>
    <xf numFmtId="184" fontId="0" fillId="0" borderId="0" xfId="0" applyNumberFormat="1" applyFont="1" applyAlignment="1">
      <alignment horizontal="right"/>
    </xf>
    <xf numFmtId="184" fontId="0" fillId="0" borderId="0" xfId="0" applyNumberFormat="1" applyAlignment="1">
      <alignment/>
    </xf>
    <xf numFmtId="184" fontId="0" fillId="0" borderId="0" xfId="0" applyNumberFormat="1" applyFill="1" applyAlignment="1">
      <alignment/>
    </xf>
    <xf numFmtId="184" fontId="0" fillId="0" borderId="0" xfId="0" applyNumberFormat="1" applyAlignment="1">
      <alignment horizontal="right"/>
    </xf>
    <xf numFmtId="0" fontId="0" fillId="0" borderId="0" xfId="0" applyAlignment="1" quotePrefix="1">
      <alignment horizontal="right"/>
    </xf>
    <xf numFmtId="0" fontId="5" fillId="0" borderId="29" xfId="0" applyNumberFormat="1" applyFont="1" applyFill="1" applyBorder="1" applyAlignment="1">
      <alignment/>
    </xf>
    <xf numFmtId="177" fontId="0" fillId="0" borderId="0" xfId="0" applyNumberFormat="1" applyAlignment="1">
      <alignment horizontal="right"/>
    </xf>
    <xf numFmtId="184" fontId="0" fillId="0" borderId="0" xfId="0" applyNumberFormat="1" applyFont="1" applyFill="1" applyBorder="1" applyAlignment="1" applyProtection="1">
      <alignment horizontal="right"/>
      <protection/>
    </xf>
    <xf numFmtId="184" fontId="0" fillId="0" borderId="0" xfId="0" applyNumberFormat="1" applyFont="1" applyFill="1" applyBorder="1" applyAlignment="1" applyProtection="1">
      <alignment horizontal="right"/>
      <protection/>
    </xf>
    <xf numFmtId="184" fontId="0" fillId="0" borderId="0" xfId="0" applyNumberFormat="1" applyFont="1" applyFill="1" applyBorder="1" applyAlignment="1" applyProtection="1">
      <alignment/>
      <protection/>
    </xf>
    <xf numFmtId="177" fontId="0" fillId="0" borderId="0" xfId="0" applyNumberFormat="1" applyFill="1" applyAlignment="1">
      <alignment horizontal="right"/>
    </xf>
    <xf numFmtId="177" fontId="0" fillId="0" borderId="0" xfId="0" applyNumberFormat="1" applyFill="1" applyAlignment="1">
      <alignment/>
    </xf>
    <xf numFmtId="14" fontId="0" fillId="0" borderId="0" xfId="0" applyNumberFormat="1" applyAlignment="1">
      <alignment horizontal="left"/>
    </xf>
    <xf numFmtId="184" fontId="0" fillId="0" borderId="0" xfId="0" applyNumberFormat="1" applyFill="1" applyAlignment="1">
      <alignment horizontal="right"/>
    </xf>
    <xf numFmtId="184" fontId="0" fillId="0" borderId="0" xfId="0" applyNumberFormat="1" applyFont="1" applyFill="1" applyBorder="1" applyAlignment="1" applyProtection="1">
      <alignment horizontal="right"/>
      <protection/>
    </xf>
    <xf numFmtId="0" fontId="2" fillId="0" borderId="27" xfId="0" applyFont="1" applyBorder="1" applyAlignment="1">
      <alignment horizontal="center" wrapText="1"/>
    </xf>
    <xf numFmtId="0" fontId="2" fillId="4" borderId="27" xfId="0" applyFont="1" applyFill="1" applyBorder="1" applyAlignment="1">
      <alignment horizontal="right"/>
    </xf>
    <xf numFmtId="0" fontId="4" fillId="4" borderId="27" xfId="0" applyFont="1" applyFill="1" applyBorder="1" applyAlignment="1">
      <alignment horizontal="right"/>
    </xf>
    <xf numFmtId="0" fontId="4" fillId="4" borderId="140" xfId="0" applyFont="1" applyFill="1" applyBorder="1" applyAlignment="1">
      <alignment horizontal="right"/>
    </xf>
    <xf numFmtId="184" fontId="1" fillId="0" borderId="141" xfId="0" applyNumberFormat="1" applyFont="1" applyFill="1" applyBorder="1" applyAlignment="1">
      <alignment/>
    </xf>
    <xf numFmtId="184" fontId="3" fillId="0" borderId="27" xfId="0" applyNumberFormat="1" applyFont="1" applyFill="1" applyBorder="1" applyAlignment="1">
      <alignment/>
    </xf>
    <xf numFmtId="184" fontId="3" fillId="0" borderId="28" xfId="0" applyNumberFormat="1" applyFont="1" applyFill="1" applyBorder="1" applyAlignment="1">
      <alignment/>
    </xf>
    <xf numFmtId="184" fontId="1" fillId="0" borderId="86" xfId="0" applyNumberFormat="1" applyFont="1" applyFill="1" applyBorder="1" applyAlignment="1">
      <alignment/>
    </xf>
    <xf numFmtId="184" fontId="1" fillId="0" borderId="26" xfId="0" applyNumberFormat="1" applyFont="1" applyFill="1" applyBorder="1" applyAlignment="1">
      <alignment/>
    </xf>
    <xf numFmtId="184" fontId="3" fillId="0" borderId="38" xfId="0" applyNumberFormat="1" applyFont="1" applyFill="1" applyBorder="1" applyAlignment="1">
      <alignment/>
    </xf>
    <xf numFmtId="184" fontId="0" fillId="0" borderId="28" xfId="0" applyNumberFormat="1" applyFont="1" applyFill="1" applyBorder="1" applyAlignment="1">
      <alignment/>
    </xf>
    <xf numFmtId="184" fontId="0" fillId="0" borderId="142" xfId="0" applyNumberFormat="1" applyFont="1" applyFill="1" applyBorder="1" applyAlignment="1">
      <alignment/>
    </xf>
    <xf numFmtId="184" fontId="0" fillId="0" borderId="142" xfId="0" applyNumberFormat="1" applyFont="1" applyFill="1" applyBorder="1" applyAlignment="1">
      <alignment/>
    </xf>
    <xf numFmtId="184" fontId="0" fillId="0" borderId="143" xfId="0" applyNumberFormat="1" applyFont="1" applyFill="1" applyBorder="1" applyAlignment="1">
      <alignment/>
    </xf>
    <xf numFmtId="184" fontId="0" fillId="0" borderId="83" xfId="0" applyNumberFormat="1" applyFont="1" applyFill="1" applyBorder="1" applyAlignment="1">
      <alignment/>
    </xf>
    <xf numFmtId="184" fontId="2" fillId="0" borderId="0" xfId="0" applyNumberFormat="1" applyFont="1" applyBorder="1" applyAlignment="1">
      <alignment/>
    </xf>
    <xf numFmtId="184" fontId="2" fillId="0" borderId="0" xfId="0" applyNumberFormat="1" applyFont="1" applyBorder="1" applyAlignment="1" applyProtection="1">
      <alignment/>
      <protection locked="0"/>
    </xf>
    <xf numFmtId="184" fontId="2" fillId="24" borderId="48" xfId="0" applyNumberFormat="1" applyFont="1" applyFill="1" applyBorder="1" applyAlignment="1">
      <alignment horizontal="center" vertical="center" wrapText="1"/>
    </xf>
    <xf numFmtId="184" fontId="2" fillId="24" borderId="68" xfId="0" applyNumberFormat="1" applyFont="1" applyFill="1" applyBorder="1" applyAlignment="1">
      <alignment horizontal="center" vertical="center" wrapText="1"/>
    </xf>
    <xf numFmtId="184" fontId="2" fillId="24" borderId="144" xfId="0" applyNumberFormat="1" applyFont="1" applyFill="1" applyBorder="1" applyAlignment="1">
      <alignment horizontal="center" vertical="center" wrapText="1"/>
    </xf>
    <xf numFmtId="184" fontId="2" fillId="24" borderId="145" xfId="0" applyNumberFormat="1" applyFont="1" applyFill="1" applyBorder="1" applyAlignment="1">
      <alignment horizontal="center" vertical="center" wrapText="1"/>
    </xf>
    <xf numFmtId="184" fontId="1" fillId="0" borderId="14" xfId="0" applyNumberFormat="1" applyFont="1" applyFill="1" applyBorder="1" applyAlignment="1">
      <alignment/>
    </xf>
    <xf numFmtId="184" fontId="1" fillId="0" borderId="91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184" fontId="0" fillId="0" borderId="15" xfId="0" applyNumberFormat="1" applyFont="1" applyFill="1" applyBorder="1" applyAlignment="1">
      <alignment/>
    </xf>
    <xf numFmtId="184" fontId="0" fillId="0" borderId="116" xfId="0" applyNumberFormat="1" applyFont="1" applyFill="1" applyBorder="1" applyAlignment="1">
      <alignment/>
    </xf>
    <xf numFmtId="184" fontId="0" fillId="0" borderId="71" xfId="0" applyNumberFormat="1" applyFont="1" applyFill="1" applyBorder="1" applyAlignment="1">
      <alignment/>
    </xf>
    <xf numFmtId="184" fontId="0" fillId="24" borderId="33" xfId="0" applyNumberFormat="1" applyFill="1" applyBorder="1" applyAlignment="1">
      <alignment/>
    </xf>
    <xf numFmtId="184" fontId="2" fillId="24" borderId="65" xfId="0" applyNumberFormat="1" applyFont="1" applyFill="1" applyBorder="1" applyAlignment="1">
      <alignment/>
    </xf>
    <xf numFmtId="184" fontId="2" fillId="24" borderId="33" xfId="0" applyNumberFormat="1" applyFont="1" applyFill="1" applyBorder="1" applyAlignment="1">
      <alignment/>
    </xf>
    <xf numFmtId="184" fontId="2" fillId="24" borderId="33" xfId="0" applyNumberFormat="1" applyFont="1" applyFill="1" applyBorder="1" applyAlignment="1" applyProtection="1">
      <alignment/>
      <protection locked="0"/>
    </xf>
    <xf numFmtId="184" fontId="0" fillId="24" borderId="50" xfId="0" applyNumberFormat="1" applyFill="1" applyBorder="1" applyAlignment="1">
      <alignment/>
    </xf>
    <xf numFmtId="184" fontId="1" fillId="0" borderId="13" xfId="0" applyNumberFormat="1" applyFont="1" applyFill="1" applyBorder="1" applyAlignment="1">
      <alignment/>
    </xf>
    <xf numFmtId="184" fontId="1" fillId="0" borderId="146" xfId="0" applyNumberFormat="1" applyFont="1" applyFill="1" applyBorder="1" applyAlignment="1">
      <alignment/>
    </xf>
    <xf numFmtId="184" fontId="3" fillId="0" borderId="46" xfId="0" applyNumberFormat="1" applyFont="1" applyFill="1" applyBorder="1" applyAlignment="1">
      <alignment/>
    </xf>
    <xf numFmtId="184" fontId="3" fillId="0" borderId="82" xfId="0" applyNumberFormat="1" applyFont="1" applyFill="1" applyBorder="1" applyAlignment="1">
      <alignment/>
    </xf>
    <xf numFmtId="184" fontId="0" fillId="0" borderId="147" xfId="0" applyNumberFormat="1" applyFont="1" applyFill="1" applyBorder="1" applyAlignment="1">
      <alignment/>
    </xf>
    <xf numFmtId="184" fontId="15" fillId="0" borderId="143" xfId="0" applyNumberFormat="1" applyFont="1" applyFill="1" applyBorder="1" applyAlignment="1">
      <alignment/>
    </xf>
    <xf numFmtId="184" fontId="3" fillId="0" borderId="143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184" fontId="15" fillId="0" borderId="0" xfId="0" applyNumberFormat="1" applyFon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1" fillId="0" borderId="21" xfId="0" applyNumberFormat="1" applyFont="1" applyFill="1" applyBorder="1" applyAlignment="1" applyProtection="1">
      <alignment horizontal="center"/>
      <protection locked="0"/>
    </xf>
    <xf numFmtId="184" fontId="1" fillId="0" borderId="22" xfId="0" applyNumberFormat="1" applyFont="1" applyFill="1" applyBorder="1" applyAlignment="1" applyProtection="1">
      <alignment horizontal="center"/>
      <protection locked="0"/>
    </xf>
    <xf numFmtId="184" fontId="4" fillId="0" borderId="0" xfId="0" applyNumberFormat="1" applyFont="1" applyBorder="1" applyAlignment="1">
      <alignment/>
    </xf>
    <xf numFmtId="184" fontId="2" fillId="0" borderId="0" xfId="42" applyNumberFormat="1" applyFont="1" applyBorder="1" applyAlignment="1">
      <alignment/>
    </xf>
    <xf numFmtId="0" fontId="1" fillId="0" borderId="125" xfId="0" applyNumberFormat="1" applyFont="1" applyFill="1" applyBorder="1" applyAlignment="1">
      <alignment/>
    </xf>
    <xf numFmtId="0" fontId="1" fillId="0" borderId="148" xfId="0" applyNumberFormat="1" applyFont="1" applyFill="1" applyBorder="1" applyAlignment="1">
      <alignment/>
    </xf>
    <xf numFmtId="0" fontId="1" fillId="0" borderId="0" xfId="0" applyNumberFormat="1" applyFont="1" applyBorder="1" applyAlignment="1">
      <alignment/>
    </xf>
    <xf numFmtId="0" fontId="2" fillId="24" borderId="149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Border="1" applyAlignment="1">
      <alignment/>
    </xf>
    <xf numFmtId="0" fontId="1" fillId="0" borderId="71" xfId="0" applyNumberFormat="1" applyFont="1" applyBorder="1" applyAlignment="1">
      <alignment/>
    </xf>
    <xf numFmtId="0" fontId="1" fillId="24" borderId="33" xfId="0" applyNumberFormat="1" applyFont="1" applyFill="1" applyBorder="1" applyAlignment="1">
      <alignment/>
    </xf>
    <xf numFmtId="0" fontId="1" fillId="0" borderId="29" xfId="0" applyNumberFormat="1" applyFont="1" applyBorder="1" applyAlignment="1">
      <alignment/>
    </xf>
    <xf numFmtId="0" fontId="2" fillId="0" borderId="19" xfId="0" applyFont="1" applyFill="1" applyBorder="1" applyAlignment="1">
      <alignment horizontal="right"/>
    </xf>
    <xf numFmtId="5" fontId="4" fillId="0" borderId="19" xfId="0" applyNumberFormat="1" applyFont="1" applyFill="1" applyBorder="1" applyAlignment="1">
      <alignment horizontal="center" vertical="center"/>
    </xf>
    <xf numFmtId="5" fontId="0" fillId="0" borderId="11" xfId="0" applyNumberFormat="1" applyFont="1" applyFill="1" applyBorder="1" applyAlignment="1">
      <alignment horizontal="center"/>
    </xf>
    <xf numFmtId="5" fontId="0" fillId="0" borderId="27" xfId="0" applyNumberFormat="1" applyFont="1" applyFill="1" applyBorder="1" applyAlignment="1">
      <alignment horizontal="center"/>
    </xf>
    <xf numFmtId="5" fontId="0" fillId="0" borderId="28" xfId="0" applyNumberFormat="1" applyFont="1" applyFill="1" applyBorder="1" applyAlignment="1">
      <alignment horizontal="center"/>
    </xf>
    <xf numFmtId="5" fontId="4" fillId="0" borderId="19" xfId="0" applyNumberFormat="1" applyFont="1" applyFill="1" applyBorder="1" applyAlignment="1">
      <alignment horizontal="center"/>
    </xf>
    <xf numFmtId="5" fontId="0" fillId="0" borderId="53" xfId="0" applyNumberFormat="1" applyFont="1" applyFill="1" applyBorder="1" applyAlignment="1">
      <alignment horizontal="center"/>
    </xf>
    <xf numFmtId="5" fontId="4" fillId="0" borderId="23" xfId="0" applyNumberFormat="1" applyFont="1" applyFill="1" applyBorder="1" applyAlignment="1">
      <alignment horizontal="center"/>
    </xf>
    <xf numFmtId="5" fontId="0" fillId="24" borderId="0" xfId="0" applyNumberFormat="1" applyFont="1" applyFill="1" applyBorder="1" applyAlignment="1">
      <alignment horizontal="center"/>
    </xf>
    <xf numFmtId="5" fontId="0" fillId="24" borderId="66" xfId="0" applyNumberFormat="1" applyFont="1" applyFill="1" applyBorder="1" applyAlignment="1">
      <alignment horizontal="center"/>
    </xf>
    <xf numFmtId="5" fontId="4" fillId="0" borderId="150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/>
    </xf>
    <xf numFmtId="0" fontId="0" fillId="24" borderId="66" xfId="0" applyFont="1" applyFill="1" applyBorder="1" applyAlignment="1">
      <alignment horizontal="center"/>
    </xf>
    <xf numFmtId="5" fontId="4" fillId="0" borderId="150" xfId="0" applyNumberFormat="1" applyFont="1" applyFill="1" applyBorder="1" applyAlignment="1">
      <alignment horizontal="center"/>
    </xf>
    <xf numFmtId="172" fontId="0" fillId="32" borderId="11" xfId="0" applyNumberFormat="1" applyFont="1" applyFill="1" applyBorder="1" applyAlignment="1">
      <alignment horizontal="center"/>
    </xf>
    <xf numFmtId="5" fontId="0" fillId="0" borderId="16" xfId="0" applyNumberFormat="1" applyFont="1" applyFill="1" applyBorder="1" applyAlignment="1">
      <alignment horizontal="center"/>
    </xf>
    <xf numFmtId="172" fontId="0" fillId="0" borderId="16" xfId="0" applyNumberFormat="1" applyFont="1" applyFill="1" applyBorder="1" applyAlignment="1">
      <alignment horizontal="center"/>
    </xf>
    <xf numFmtId="5" fontId="4" fillId="0" borderId="151" xfId="0" applyNumberFormat="1" applyFont="1" applyFill="1" applyBorder="1" applyAlignment="1">
      <alignment horizontal="center"/>
    </xf>
    <xf numFmtId="5" fontId="0" fillId="24" borderId="0" xfId="0" applyNumberFormat="1" applyFont="1" applyFill="1" applyAlignment="1">
      <alignment horizontal="center"/>
    </xf>
    <xf numFmtId="172" fontId="0" fillId="0" borderId="30" xfId="0" applyNumberFormat="1" applyFont="1" applyFill="1" applyBorder="1" applyAlignment="1">
      <alignment horizontal="left"/>
    </xf>
    <xf numFmtId="0" fontId="0" fillId="35" borderId="0" xfId="0" applyFont="1" applyFill="1" applyAlignment="1">
      <alignment/>
    </xf>
    <xf numFmtId="0" fontId="0" fillId="0" borderId="0" xfId="0" applyFont="1" applyAlignment="1">
      <alignment/>
    </xf>
    <xf numFmtId="172" fontId="0" fillId="0" borderId="15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4" fillId="0" borderId="0" xfId="44" applyNumberFormat="1" applyFont="1" applyFill="1" applyAlignment="1">
      <alignment/>
    </xf>
    <xf numFmtId="2" fontId="0" fillId="0" borderId="34" xfId="0" applyNumberFormat="1" applyFill="1" applyBorder="1" applyAlignment="1">
      <alignment/>
    </xf>
    <xf numFmtId="194" fontId="0" fillId="0" borderId="0" xfId="0" applyNumberFormat="1" applyFill="1" applyAlignment="1" quotePrefix="1">
      <alignment horizontal="center"/>
    </xf>
    <xf numFmtId="184" fontId="0" fillId="12" borderId="0" xfId="0" applyNumberFormat="1" applyFont="1" applyFill="1" applyBorder="1" applyAlignment="1" applyProtection="1">
      <alignment/>
      <protection/>
    </xf>
    <xf numFmtId="184" fontId="0" fillId="12" borderId="0" xfId="0" applyNumberFormat="1" applyFont="1" applyFill="1" applyBorder="1" applyAlignment="1" applyProtection="1">
      <alignment horizontal="right"/>
      <protection/>
    </xf>
    <xf numFmtId="184" fontId="0" fillId="12" borderId="0" xfId="0" applyNumberFormat="1" applyFill="1" applyAlignment="1">
      <alignment/>
    </xf>
    <xf numFmtId="184" fontId="0" fillId="12" borderId="0" xfId="0" applyNumberFormat="1" applyFill="1" applyAlignment="1">
      <alignment horizontal="right"/>
    </xf>
    <xf numFmtId="173" fontId="2" fillId="0" borderId="153" xfId="0" applyNumberFormat="1" applyFont="1" applyBorder="1" applyAlignment="1">
      <alignment/>
    </xf>
    <xf numFmtId="173" fontId="2" fillId="0" borderId="23" xfId="0" applyNumberFormat="1" applyFont="1" applyBorder="1" applyAlignment="1">
      <alignment/>
    </xf>
    <xf numFmtId="0" fontId="4" fillId="24" borderId="49" xfId="0" applyFont="1" applyFill="1" applyBorder="1" applyAlignment="1">
      <alignment/>
    </xf>
    <xf numFmtId="184" fontId="0" fillId="12" borderId="0" xfId="0" applyNumberFormat="1" applyFont="1" applyFill="1" applyBorder="1" applyAlignment="1" applyProtection="1">
      <alignment/>
      <protection/>
    </xf>
    <xf numFmtId="3" fontId="0" fillId="12" borderId="0" xfId="0" applyNumberFormat="1" applyFont="1" applyFill="1" applyBorder="1" applyAlignment="1" applyProtection="1">
      <alignment/>
      <protection/>
    </xf>
    <xf numFmtId="37" fontId="0" fillId="12" borderId="0" xfId="0" applyNumberFormat="1" applyFill="1" applyAlignment="1">
      <alignment/>
    </xf>
    <xf numFmtId="172" fontId="4" fillId="0" borderId="130" xfId="0" applyNumberFormat="1" applyFont="1" applyFill="1" applyBorder="1" applyAlignment="1">
      <alignment horizontal="center" vertical="center" wrapText="1"/>
    </xf>
    <xf numFmtId="172" fontId="0" fillId="0" borderId="148" xfId="0" applyNumberFormat="1" applyFont="1" applyFill="1" applyBorder="1" applyAlignment="1">
      <alignment/>
    </xf>
    <xf numFmtId="172" fontId="0" fillId="0" borderId="154" xfId="0" applyNumberFormat="1" applyFont="1" applyFill="1" applyBorder="1" applyAlignment="1">
      <alignment/>
    </xf>
    <xf numFmtId="0" fontId="0" fillId="0" borderId="105" xfId="0" applyFont="1" applyFill="1" applyBorder="1" applyAlignment="1">
      <alignment/>
    </xf>
    <xf numFmtId="4" fontId="4" fillId="0" borderId="76" xfId="44" applyNumberFormat="1" applyFont="1" applyFill="1" applyBorder="1" applyAlignment="1">
      <alignment horizontal="center" vertical="top" wrapText="1"/>
    </xf>
    <xf numFmtId="4" fontId="0" fillId="0" borderId="20" xfId="44" applyNumberFormat="1" applyFont="1" applyFill="1" applyBorder="1" applyAlignment="1">
      <alignment/>
    </xf>
    <xf numFmtId="4" fontId="4" fillId="0" borderId="22" xfId="44" applyNumberFormat="1" applyFont="1" applyBorder="1" applyAlignment="1">
      <alignment/>
    </xf>
    <xf numFmtId="4" fontId="4" fillId="0" borderId="155" xfId="0" applyNumberFormat="1" applyFont="1" applyBorder="1" applyAlignment="1">
      <alignment/>
    </xf>
    <xf numFmtId="2" fontId="0" fillId="0" borderId="20" xfId="44" applyNumberFormat="1" applyFont="1" applyFill="1" applyBorder="1" applyAlignment="1">
      <alignment/>
    </xf>
    <xf numFmtId="43" fontId="4" fillId="0" borderId="76" xfId="0" applyNumberFormat="1" applyFont="1" applyFill="1" applyBorder="1" applyAlignment="1">
      <alignment/>
    </xf>
    <xf numFmtId="4" fontId="17" fillId="0" borderId="76" xfId="44" applyNumberFormat="1" applyFont="1" applyBorder="1" applyAlignment="1">
      <alignment horizontal="center" vertical="top" wrapText="1"/>
    </xf>
    <xf numFmtId="4" fontId="0" fillId="0" borderId="20" xfId="44" applyNumberFormat="1" applyFont="1" applyBorder="1" applyAlignment="1">
      <alignment/>
    </xf>
    <xf numFmtId="4" fontId="0" fillId="0" borderId="156" xfId="44" applyNumberFormat="1" applyFont="1" applyBorder="1" applyAlignment="1">
      <alignment/>
    </xf>
    <xf numFmtId="4" fontId="0" fillId="0" borderId="133" xfId="44" applyNumberFormat="1" applyFont="1" applyBorder="1" applyAlignment="1">
      <alignment/>
    </xf>
    <xf numFmtId="4" fontId="0" fillId="0" borderId="157" xfId="44" applyNumberFormat="1" applyFont="1" applyBorder="1" applyAlignment="1">
      <alignment/>
    </xf>
    <xf numFmtId="4" fontId="0" fillId="0" borderId="158" xfId="44" applyNumberFormat="1" applyFont="1" applyBorder="1" applyAlignment="1">
      <alignment/>
    </xf>
    <xf numFmtId="4" fontId="4" fillId="24" borderId="76" xfId="44" applyNumberFormat="1" applyFont="1" applyFill="1" applyBorder="1" applyAlignment="1">
      <alignment/>
    </xf>
    <xf numFmtId="172" fontId="4" fillId="0" borderId="52" xfId="0" applyNumberFormat="1" applyFont="1" applyFill="1" applyBorder="1" applyAlignment="1">
      <alignment horizontal="center" vertical="top" wrapText="1"/>
    </xf>
    <xf numFmtId="172" fontId="0" fillId="0" borderId="129" xfId="0" applyNumberFormat="1" applyFont="1" applyFill="1" applyBorder="1" applyAlignment="1">
      <alignment horizontal="center"/>
    </xf>
    <xf numFmtId="172" fontId="0" fillId="0" borderId="94" xfId="0" applyNumberFormat="1" applyFont="1" applyFill="1" applyBorder="1" applyAlignment="1">
      <alignment horizontal="center"/>
    </xf>
    <xf numFmtId="172" fontId="4" fillId="0" borderId="111" xfId="0" applyNumberFormat="1" applyFont="1" applyFill="1" applyBorder="1" applyAlignment="1">
      <alignment horizontal="center"/>
    </xf>
    <xf numFmtId="0" fontId="0" fillId="0" borderId="19" xfId="0" applyFill="1" applyBorder="1" applyAlignment="1">
      <alignment/>
    </xf>
    <xf numFmtId="184" fontId="0" fillId="0" borderId="77" xfId="0" applyNumberFormat="1" applyFill="1" applyBorder="1" applyAlignment="1">
      <alignment horizontal="left"/>
    </xf>
    <xf numFmtId="184" fontId="0" fillId="0" borderId="78" xfId="0" applyNumberFormat="1" applyFill="1" applyBorder="1" applyAlignment="1">
      <alignment horizontal="left"/>
    </xf>
    <xf numFmtId="0" fontId="1" fillId="31" borderId="27" xfId="0" applyFont="1" applyFill="1" applyBorder="1" applyAlignment="1">
      <alignment horizontal="right"/>
    </xf>
    <xf numFmtId="4" fontId="0" fillId="0" borderId="118" xfId="44" applyNumberFormat="1" applyFont="1" applyBorder="1" applyAlignment="1">
      <alignment/>
    </xf>
    <xf numFmtId="0" fontId="0" fillId="0" borderId="11" xfId="0" applyFill="1" applyBorder="1" applyAlignment="1">
      <alignment/>
    </xf>
    <xf numFmtId="0" fontId="4" fillId="0" borderId="0" xfId="0" applyFont="1" applyAlignment="1">
      <alignment horizontal="left" wrapText="1"/>
    </xf>
    <xf numFmtId="0" fontId="0" fillId="0" borderId="66" xfId="0" applyFill="1" applyBorder="1" applyAlignment="1">
      <alignment/>
    </xf>
    <xf numFmtId="5" fontId="4" fillId="0" borderId="109" xfId="0" applyNumberFormat="1" applyFont="1" applyFill="1" applyBorder="1" applyAlignment="1">
      <alignment horizontal="center" vertical="center"/>
    </xf>
    <xf numFmtId="5" fontId="4" fillId="0" borderId="159" xfId="0" applyNumberFormat="1" applyFont="1" applyFill="1" applyBorder="1" applyAlignment="1">
      <alignment horizontal="center" vertical="center"/>
    </xf>
    <xf numFmtId="5" fontId="0" fillId="0" borderId="160" xfId="0" applyNumberFormat="1" applyFont="1" applyFill="1" applyBorder="1" applyAlignment="1">
      <alignment horizontal="center"/>
    </xf>
    <xf numFmtId="5" fontId="0" fillId="0" borderId="57" xfId="0" applyNumberFormat="1" applyFont="1" applyFill="1" applyBorder="1" applyAlignment="1">
      <alignment horizontal="center"/>
    </xf>
    <xf numFmtId="5" fontId="4" fillId="0" borderId="161" xfId="0" applyNumberFormat="1" applyFont="1" applyFill="1" applyBorder="1" applyAlignment="1">
      <alignment horizontal="center"/>
    </xf>
    <xf numFmtId="5" fontId="4" fillId="0" borderId="114" xfId="0" applyNumberFormat="1" applyFont="1" applyFill="1" applyBorder="1" applyAlignment="1">
      <alignment horizontal="center"/>
    </xf>
    <xf numFmtId="172" fontId="4" fillId="36" borderId="52" xfId="0" applyNumberFormat="1" applyFont="1" applyFill="1" applyBorder="1" applyAlignment="1">
      <alignment horizontal="center"/>
    </xf>
    <xf numFmtId="172" fontId="4" fillId="32" borderId="52" xfId="0" applyNumberFormat="1" applyFont="1" applyFill="1" applyBorder="1" applyAlignment="1">
      <alignment horizontal="center"/>
    </xf>
    <xf numFmtId="184" fontId="3" fillId="12" borderId="28" xfId="0" applyNumberFormat="1" applyFont="1" applyFill="1" applyBorder="1" applyAlignment="1">
      <alignment/>
    </xf>
    <xf numFmtId="184" fontId="1" fillId="12" borderId="141" xfId="0" applyNumberFormat="1" applyFont="1" applyFill="1" applyBorder="1" applyAlignment="1">
      <alignment/>
    </xf>
    <xf numFmtId="0" fontId="0" fillId="34" borderId="56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177" fontId="0" fillId="34" borderId="77" xfId="0" applyNumberFormat="1" applyFont="1" applyFill="1" applyBorder="1" applyAlignment="1">
      <alignment horizontal="center"/>
    </xf>
    <xf numFmtId="0" fontId="4" fillId="34" borderId="72" xfId="0" applyFont="1" applyFill="1" applyBorder="1" applyAlignment="1">
      <alignment horizontal="right"/>
    </xf>
    <xf numFmtId="0" fontId="4" fillId="34" borderId="59" xfId="0" applyFont="1" applyFill="1" applyBorder="1" applyAlignment="1">
      <alignment horizontal="right"/>
    </xf>
    <xf numFmtId="184" fontId="3" fillId="12" borderId="140" xfId="0" applyNumberFormat="1" applyFont="1" applyFill="1" applyBorder="1" applyAlignment="1">
      <alignment/>
    </xf>
    <xf numFmtId="184" fontId="3" fillId="12" borderId="27" xfId="0" applyNumberFormat="1" applyFont="1" applyFill="1" applyBorder="1" applyAlignment="1">
      <alignment/>
    </xf>
    <xf numFmtId="172" fontId="0" fillId="0" borderId="67" xfId="0" applyNumberFormat="1" applyFont="1" applyFill="1" applyBorder="1" applyAlignment="1">
      <alignment/>
    </xf>
    <xf numFmtId="172" fontId="0" fillId="0" borderId="29" xfId="0" applyNumberFormat="1" applyFont="1" applyFill="1" applyBorder="1" applyAlignment="1">
      <alignment/>
    </xf>
    <xf numFmtId="172" fontId="0" fillId="0" borderId="26" xfId="0" applyNumberFormat="1" applyFont="1" applyFill="1" applyBorder="1" applyAlignment="1">
      <alignment/>
    </xf>
    <xf numFmtId="172" fontId="4" fillId="0" borderId="12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/>
    </xf>
    <xf numFmtId="172" fontId="4" fillId="0" borderId="162" xfId="0" applyNumberFormat="1" applyFont="1" applyFill="1" applyBorder="1" applyAlignment="1">
      <alignment/>
    </xf>
    <xf numFmtId="172" fontId="0" fillId="0" borderId="67" xfId="0" applyNumberFormat="1" applyFont="1" applyFill="1" applyBorder="1" applyAlignment="1">
      <alignment horizontal="center"/>
    </xf>
    <xf numFmtId="172" fontId="4" fillId="0" borderId="25" xfId="0" applyNumberFormat="1" applyFont="1" applyFill="1" applyBorder="1" applyAlignment="1">
      <alignment/>
    </xf>
    <xf numFmtId="172" fontId="0" fillId="0" borderId="38" xfId="0" applyNumberFormat="1" applyFont="1" applyFill="1" applyBorder="1" applyAlignment="1">
      <alignment/>
    </xf>
    <xf numFmtId="172" fontId="4" fillId="0" borderId="163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172" fontId="4" fillId="0" borderId="74" xfId="0" applyNumberFormat="1" applyFont="1" applyFill="1" applyBorder="1" applyAlignment="1">
      <alignment/>
    </xf>
    <xf numFmtId="172" fontId="0" fillId="0" borderId="71" xfId="0" applyNumberFormat="1" applyFont="1" applyFill="1" applyBorder="1" applyAlignment="1">
      <alignment/>
    </xf>
    <xf numFmtId="172" fontId="4" fillId="0" borderId="164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72" fontId="4" fillId="33" borderId="74" xfId="0" applyNumberFormat="1" applyFont="1" applyFill="1" applyBorder="1" applyAlignment="1">
      <alignment horizontal="center"/>
    </xf>
    <xf numFmtId="172" fontId="0" fillId="0" borderId="67" xfId="0" applyNumberFormat="1" applyFont="1" applyFill="1" applyBorder="1" applyAlignment="1">
      <alignment/>
    </xf>
    <xf numFmtId="184" fontId="1" fillId="0" borderId="11" xfId="42" applyNumberFormat="1" applyFont="1" applyFill="1" applyBorder="1" applyAlignment="1">
      <alignment/>
    </xf>
    <xf numFmtId="184" fontId="1" fillId="0" borderId="118" xfId="42" applyNumberFormat="1" applyFont="1" applyFill="1" applyBorder="1" applyAlignment="1">
      <alignment/>
    </xf>
    <xf numFmtId="184" fontId="1" fillId="0" borderId="27" xfId="42" applyNumberFormat="1" applyFont="1" applyFill="1" applyBorder="1" applyAlignment="1">
      <alignment/>
    </xf>
    <xf numFmtId="184" fontId="1" fillId="0" borderId="27" xfId="42" applyNumberFormat="1" applyFont="1" applyFill="1" applyBorder="1" applyAlignment="1">
      <alignment/>
    </xf>
    <xf numFmtId="184" fontId="1" fillId="0" borderId="97" xfId="42" applyNumberFormat="1" applyFont="1" applyFill="1" applyBorder="1" applyAlignment="1">
      <alignment/>
    </xf>
    <xf numFmtId="184" fontId="2" fillId="0" borderId="21" xfId="42" applyNumberFormat="1" applyFont="1" applyFill="1" applyBorder="1" applyAlignment="1">
      <alignment/>
    </xf>
    <xf numFmtId="184" fontId="2" fillId="0" borderId="97" xfId="42" applyNumberFormat="1" applyFont="1" applyFill="1" applyBorder="1" applyAlignment="1">
      <alignment/>
    </xf>
    <xf numFmtId="184" fontId="4" fillId="0" borderId="19" xfId="0" applyNumberFormat="1" applyFont="1" applyFill="1" applyBorder="1" applyAlignment="1">
      <alignment/>
    </xf>
    <xf numFmtId="184" fontId="4" fillId="0" borderId="165" xfId="0" applyNumberFormat="1" applyFont="1" applyFill="1" applyBorder="1" applyAlignment="1">
      <alignment/>
    </xf>
    <xf numFmtId="184" fontId="4" fillId="0" borderId="109" xfId="0" applyNumberFormat="1" applyFont="1" applyFill="1" applyBorder="1" applyAlignment="1">
      <alignment/>
    </xf>
    <xf numFmtId="184" fontId="4" fillId="0" borderId="63" xfId="0" applyNumberFormat="1" applyFont="1" applyFill="1" applyBorder="1" applyAlignment="1">
      <alignment/>
    </xf>
    <xf numFmtId="184" fontId="2" fillId="0" borderId="76" xfId="42" applyNumberFormat="1" applyFont="1" applyFill="1" applyBorder="1" applyAlignment="1">
      <alignment/>
    </xf>
    <xf numFmtId="184" fontId="2" fillId="0" borderId="63" xfId="42" applyNumberFormat="1" applyFont="1" applyFill="1" applyBorder="1" applyAlignment="1">
      <alignment/>
    </xf>
    <xf numFmtId="172" fontId="4" fillId="37" borderId="13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7" fontId="0" fillId="38" borderId="0" xfId="0" applyNumberFormat="1" applyFill="1" applyAlignment="1">
      <alignment horizontal="center"/>
    </xf>
    <xf numFmtId="0" fontId="0" fillId="39" borderId="0" xfId="0" applyFont="1" applyFill="1" applyAlignment="1">
      <alignment/>
    </xf>
    <xf numFmtId="0" fontId="0" fillId="39" borderId="0" xfId="0" applyNumberFormat="1" applyFont="1" applyFill="1" applyBorder="1" applyAlignment="1" applyProtection="1">
      <alignment/>
      <protection/>
    </xf>
    <xf numFmtId="0" fontId="0" fillId="39" borderId="0" xfId="0" applyFill="1" applyAlignment="1">
      <alignment/>
    </xf>
    <xf numFmtId="37" fontId="0" fillId="39" borderId="0" xfId="0" applyNumberFormat="1" applyFill="1" applyAlignment="1">
      <alignment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172" fontId="0" fillId="38" borderId="96" xfId="0" applyNumberFormat="1" applyFont="1" applyFill="1" applyBorder="1" applyAlignment="1">
      <alignment/>
    </xf>
    <xf numFmtId="172" fontId="0" fillId="38" borderId="86" xfId="0" applyNumberFormat="1" applyFont="1" applyFill="1" applyBorder="1" applyAlignment="1">
      <alignment/>
    </xf>
    <xf numFmtId="0" fontId="26" fillId="0" borderId="26" xfId="0" applyFont="1" applyBorder="1" applyAlignment="1">
      <alignment/>
    </xf>
    <xf numFmtId="0" fontId="26" fillId="0" borderId="18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172" fontId="26" fillId="0" borderId="0" xfId="0" applyNumberFormat="1" applyFont="1" applyBorder="1" applyAlignment="1">
      <alignment/>
    </xf>
    <xf numFmtId="0" fontId="26" fillId="0" borderId="29" xfId="0" applyFont="1" applyBorder="1" applyAlignment="1">
      <alignment/>
    </xf>
    <xf numFmtId="0" fontId="26" fillId="0" borderId="18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1" xfId="0" applyFont="1" applyBorder="1" applyAlignment="1">
      <alignment/>
    </xf>
    <xf numFmtId="0" fontId="0" fillId="40" borderId="0" xfId="0" applyNumberFormat="1" applyFont="1" applyFill="1" applyBorder="1" applyAlignment="1" applyProtection="1">
      <alignment horizontal="right"/>
      <protection/>
    </xf>
    <xf numFmtId="184" fontId="0" fillId="40" borderId="0" xfId="0" applyNumberFormat="1" applyFont="1" applyFill="1" applyBorder="1" applyAlignment="1" applyProtection="1">
      <alignment/>
      <protection/>
    </xf>
    <xf numFmtId="0" fontId="0" fillId="40" borderId="0" xfId="0" applyNumberFormat="1" applyFont="1" applyFill="1" applyBorder="1" applyAlignment="1" applyProtection="1">
      <alignment/>
      <protection/>
    </xf>
    <xf numFmtId="184" fontId="0" fillId="40" borderId="0" xfId="0" applyNumberFormat="1" applyFont="1" applyFill="1" applyBorder="1" applyAlignment="1" applyProtection="1">
      <alignment horizontal="right"/>
      <protection/>
    </xf>
    <xf numFmtId="184" fontId="0" fillId="40" borderId="0" xfId="0" applyNumberFormat="1" applyFont="1" applyFill="1" applyBorder="1" applyAlignment="1" applyProtection="1">
      <alignment horizontal="right"/>
      <protection/>
    </xf>
    <xf numFmtId="184" fontId="0" fillId="40" borderId="0" xfId="0" applyNumberFormat="1" applyFill="1" applyAlignment="1">
      <alignment/>
    </xf>
    <xf numFmtId="172" fontId="4" fillId="41" borderId="130" xfId="0" applyNumberFormat="1" applyFont="1" applyFill="1" applyBorder="1" applyAlignment="1">
      <alignment horizontal="center"/>
    </xf>
    <xf numFmtId="172" fontId="0" fillId="0" borderId="166" xfId="0" applyNumberFormat="1" applyFont="1" applyFill="1" applyBorder="1" applyAlignment="1">
      <alignment horizontal="right"/>
    </xf>
    <xf numFmtId="4" fontId="0" fillId="0" borderId="167" xfId="44" applyNumberFormat="1" applyFont="1" applyBorder="1" applyAlignment="1">
      <alignment/>
    </xf>
    <xf numFmtId="4" fontId="0" fillId="0" borderId="141" xfId="44" applyNumberFormat="1" applyFont="1" applyFill="1" applyBorder="1" applyAlignment="1">
      <alignment/>
    </xf>
    <xf numFmtId="4" fontId="0" fillId="0" borderId="30" xfId="44" applyNumberFormat="1" applyFont="1" applyBorder="1" applyAlignment="1">
      <alignment/>
    </xf>
    <xf numFmtId="0" fontId="0" fillId="38" borderId="0" xfId="0" applyFill="1" applyAlignment="1">
      <alignment/>
    </xf>
    <xf numFmtId="172" fontId="0" fillId="0" borderId="38" xfId="0" applyNumberFormat="1" applyFont="1" applyFill="1" applyBorder="1" applyAlignment="1">
      <alignment/>
    </xf>
    <xf numFmtId="172" fontId="4" fillId="40" borderId="87" xfId="0" applyNumberFormat="1" applyFont="1" applyFill="1" applyBorder="1" applyAlignment="1">
      <alignment horizontal="center" vertical="center" wrapText="1"/>
    </xf>
    <xf numFmtId="172" fontId="4" fillId="40" borderId="52" xfId="0" applyNumberFormat="1" applyFont="1" applyFill="1" applyBorder="1" applyAlignment="1">
      <alignment horizontal="center" vertical="top" wrapText="1"/>
    </xf>
    <xf numFmtId="0" fontId="26" fillId="0" borderId="17" xfId="0" applyFont="1" applyBorder="1" applyAlignment="1">
      <alignment/>
    </xf>
    <xf numFmtId="0" fontId="26" fillId="0" borderId="25" xfId="0" applyFont="1" applyBorder="1" applyAlignment="1">
      <alignment/>
    </xf>
    <xf numFmtId="0" fontId="26" fillId="0" borderId="16" xfId="0" applyFont="1" applyFill="1" applyBorder="1" applyAlignment="1">
      <alignment/>
    </xf>
    <xf numFmtId="0" fontId="26" fillId="0" borderId="26" xfId="0" applyFont="1" applyFill="1" applyBorder="1" applyAlignment="1">
      <alignment/>
    </xf>
    <xf numFmtId="0" fontId="26" fillId="0" borderId="24" xfId="0" applyFont="1" applyFill="1" applyBorder="1" applyAlignment="1">
      <alignment/>
    </xf>
    <xf numFmtId="0" fontId="26" fillId="0" borderId="29" xfId="0" applyFont="1" applyFill="1" applyBorder="1" applyAlignment="1">
      <alignment/>
    </xf>
    <xf numFmtId="0" fontId="27" fillId="0" borderId="16" xfId="0" applyFont="1" applyBorder="1" applyAlignment="1">
      <alignment/>
    </xf>
    <xf numFmtId="0" fontId="26" fillId="0" borderId="26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26" fillId="0" borderId="26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26" fillId="0" borderId="24" xfId="0" applyFont="1" applyBorder="1" applyAlignment="1">
      <alignment/>
    </xf>
    <xf numFmtId="0" fontId="26" fillId="0" borderId="29" xfId="0" applyFont="1" applyBorder="1" applyAlignment="1">
      <alignment/>
    </xf>
    <xf numFmtId="0" fontId="5" fillId="0" borderId="16" xfId="0" applyNumberFormat="1" applyFont="1" applyFill="1" applyBorder="1" applyAlignment="1">
      <alignment/>
    </xf>
    <xf numFmtId="0" fontId="5" fillId="0" borderId="26" xfId="0" applyNumberFormat="1" applyFont="1" applyFill="1" applyBorder="1" applyAlignment="1">
      <alignment/>
    </xf>
    <xf numFmtId="0" fontId="5" fillId="0" borderId="168" xfId="0" applyFont="1" applyBorder="1" applyAlignment="1">
      <alignment/>
    </xf>
    <xf numFmtId="0" fontId="5" fillId="0" borderId="12" xfId="0" applyFont="1" applyBorder="1" applyAlignment="1">
      <alignment/>
    </xf>
    <xf numFmtId="0" fontId="26" fillId="0" borderId="24" xfId="0" applyNumberFormat="1" applyFont="1" applyFill="1" applyBorder="1" applyAlignment="1">
      <alignment/>
    </xf>
    <xf numFmtId="0" fontId="26" fillId="0" borderId="29" xfId="0" applyNumberFormat="1" applyFont="1" applyFill="1" applyBorder="1" applyAlignment="1">
      <alignment/>
    </xf>
    <xf numFmtId="172" fontId="5" fillId="0" borderId="51" xfId="0" applyNumberFormat="1" applyFont="1" applyBorder="1" applyAlignment="1">
      <alignment/>
    </xf>
    <xf numFmtId="172" fontId="5" fillId="0" borderId="74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0" fontId="5" fillId="0" borderId="26" xfId="0" applyNumberFormat="1" applyFont="1" applyBorder="1" applyAlignment="1">
      <alignment/>
    </xf>
    <xf numFmtId="172" fontId="26" fillId="0" borderId="169" xfId="0" applyNumberFormat="1" applyFont="1" applyFill="1" applyBorder="1" applyAlignment="1">
      <alignment horizontal="left"/>
    </xf>
    <xf numFmtId="172" fontId="26" fillId="0" borderId="170" xfId="0" applyNumberFormat="1" applyFont="1" applyFill="1" applyBorder="1" applyAlignment="1">
      <alignment horizontal="left"/>
    </xf>
    <xf numFmtId="172" fontId="5" fillId="0" borderId="0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26" fillId="0" borderId="28" xfId="0" applyFont="1" applyFill="1" applyBorder="1" applyAlignment="1">
      <alignment/>
    </xf>
    <xf numFmtId="0" fontId="26" fillId="0" borderId="67" xfId="0" applyFont="1" applyFill="1" applyBorder="1" applyAlignment="1">
      <alignment/>
    </xf>
    <xf numFmtId="172" fontId="18" fillId="0" borderId="17" xfId="0" applyNumberFormat="1" applyFont="1" applyBorder="1" applyAlignment="1">
      <alignment horizontal="center" vertical="center" wrapText="1"/>
    </xf>
    <xf numFmtId="0" fontId="26" fillId="0" borderId="171" xfId="0" applyFont="1" applyFill="1" applyBorder="1" applyAlignment="1">
      <alignment horizontal="left" wrapText="1"/>
    </xf>
    <xf numFmtId="0" fontId="0" fillId="0" borderId="172" xfId="0" applyFont="1" applyFill="1" applyBorder="1" applyAlignment="1">
      <alignment/>
    </xf>
    <xf numFmtId="0" fontId="0" fillId="0" borderId="173" xfId="0" applyFont="1" applyFill="1" applyBorder="1" applyAlignment="1">
      <alignment/>
    </xf>
    <xf numFmtId="0" fontId="26" fillId="0" borderId="18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wrapText="1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HOA OPERATING EXPENSES</a:t>
            </a:r>
          </a:p>
        </c:rich>
      </c:tx>
      <c:layout>
        <c:manualLayout>
          <c:xMode val="factor"/>
          <c:yMode val="factor"/>
          <c:x val="-0.08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275"/>
          <c:y val="0.2235"/>
          <c:w val="0.266"/>
          <c:h val="0.50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Charts!$A$4:$A$9</c:f>
              <c:strCache/>
            </c:strRef>
          </c:cat>
          <c:val>
            <c:numRef>
              <c:f>Charts!$B$4:$B$9</c:f>
              <c:numCache/>
            </c:numRef>
          </c:val>
        </c:ser>
        <c:firstSliceAng val="116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HOA FEES ALLOCATION</a:t>
            </a:r>
          </a:p>
        </c:rich>
      </c:tx>
      <c:layout>
        <c:manualLayout>
          <c:xMode val="factor"/>
          <c:yMode val="factor"/>
          <c:x val="-0.297"/>
          <c:y val="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475"/>
          <c:y val="0.15825"/>
          <c:w val="0.2875"/>
          <c:h val="0.573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Charts!$K$5:$K$9</c:f>
              <c:strCache/>
            </c:strRef>
          </c:cat>
          <c:val>
            <c:numRef>
              <c:f>Charts!$L$5:$L$9</c:f>
              <c:numCache/>
            </c:numRef>
          </c:val>
        </c:ser>
        <c:firstSliceAng val="166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55</xdr:row>
      <xdr:rowOff>76200</xdr:rowOff>
    </xdr:from>
    <xdr:to>
      <xdr:col>14</xdr:col>
      <xdr:colOff>571500</xdr:colOff>
      <xdr:row>98</xdr:row>
      <xdr:rowOff>57150</xdr:rowOff>
    </xdr:to>
    <xdr:graphicFrame>
      <xdr:nvGraphicFramePr>
        <xdr:cNvPr id="1" name="Chart 1"/>
        <xdr:cNvGraphicFramePr/>
      </xdr:nvGraphicFramePr>
      <xdr:xfrm>
        <a:off x="285750" y="9058275"/>
        <a:ext cx="13163550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12</xdr:row>
      <xdr:rowOff>95250</xdr:rowOff>
    </xdr:from>
    <xdr:to>
      <xdr:col>15</xdr:col>
      <xdr:colOff>19050</xdr:colOff>
      <xdr:row>53</xdr:row>
      <xdr:rowOff>95250</xdr:rowOff>
    </xdr:to>
    <xdr:graphicFrame>
      <xdr:nvGraphicFramePr>
        <xdr:cNvPr id="2" name="Chart 479"/>
        <xdr:cNvGraphicFramePr/>
      </xdr:nvGraphicFramePr>
      <xdr:xfrm>
        <a:off x="333375" y="2114550"/>
        <a:ext cx="13173075" cy="663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6384" width="9.140625" style="168" customWidth="1"/>
  </cols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11"/>
  <sheetViews>
    <sheetView zoomScalePageLayoutView="0" workbookViewId="0" topLeftCell="A21">
      <selection activeCell="A93" sqref="A93"/>
    </sheetView>
  </sheetViews>
  <sheetFormatPr defaultColWidth="9.140625" defaultRowHeight="12.75"/>
  <cols>
    <col min="1" max="1" width="19.8515625" style="0" customWidth="1"/>
    <col min="2" max="2" width="16.421875" style="0" customWidth="1"/>
    <col min="3" max="3" width="16.140625" style="0" customWidth="1"/>
    <col min="4" max="4" width="14.421875" style="0" customWidth="1"/>
    <col min="5" max="6" width="9.421875" style="0" bestFit="1" customWidth="1"/>
    <col min="7" max="7" width="12.28125" style="0" bestFit="1" customWidth="1"/>
    <col min="8" max="8" width="10.421875" style="0" customWidth="1"/>
    <col min="9" max="9" width="9.421875" style="0" bestFit="1" customWidth="1"/>
    <col min="10" max="10" width="14.00390625" style="0" customWidth="1"/>
    <col min="11" max="11" width="16.7109375" style="0" bestFit="1" customWidth="1"/>
    <col min="12" max="12" width="24.57421875" style="0" customWidth="1"/>
    <col min="13" max="13" width="9.7109375" style="0" customWidth="1"/>
    <col min="14" max="14" width="8.28125" style="0" bestFit="1" customWidth="1"/>
    <col min="15" max="15" width="10.28125" style="0" customWidth="1"/>
    <col min="16" max="16" width="8.28125" style="0" bestFit="1" customWidth="1"/>
    <col min="17" max="17" width="12.140625" style="0" customWidth="1"/>
    <col min="18" max="18" width="8.28125" style="0" bestFit="1" customWidth="1"/>
  </cols>
  <sheetData>
    <row r="1" spans="1:7" ht="21" customHeight="1">
      <c r="A1" s="176" t="s">
        <v>406</v>
      </c>
      <c r="D1" s="428"/>
      <c r="E1" s="428"/>
      <c r="F1" s="428"/>
      <c r="G1" s="428"/>
    </row>
    <row r="2" spans="2:13" ht="13.5" customHeight="1" thickBot="1">
      <c r="B2" s="78"/>
      <c r="C2" s="78"/>
      <c r="D2" s="80"/>
      <c r="E2" s="80"/>
      <c r="F2" s="80"/>
      <c r="G2" s="80"/>
      <c r="H2" s="81"/>
      <c r="I2" s="81"/>
      <c r="J2" s="58"/>
      <c r="M2" s="651"/>
    </row>
    <row r="3" spans="1:13" ht="25.5">
      <c r="A3" s="173" t="s">
        <v>522</v>
      </c>
      <c r="B3" s="265" t="s">
        <v>141</v>
      </c>
      <c r="C3" s="266" t="s">
        <v>21</v>
      </c>
      <c r="D3" s="267" t="s">
        <v>89</v>
      </c>
      <c r="E3" s="267" t="s">
        <v>139</v>
      </c>
      <c r="F3" s="268" t="s">
        <v>88</v>
      </c>
      <c r="G3" s="269" t="s">
        <v>80</v>
      </c>
      <c r="H3" s="174" t="s">
        <v>134</v>
      </c>
      <c r="I3" s="174" t="s">
        <v>140</v>
      </c>
      <c r="J3" s="175" t="s">
        <v>208</v>
      </c>
      <c r="L3" s="118"/>
      <c r="M3" s="652"/>
    </row>
    <row r="4" spans="1:13" ht="12.75">
      <c r="A4" s="199" t="s">
        <v>9</v>
      </c>
      <c r="B4" s="528">
        <f>$B$111</f>
        <v>324</v>
      </c>
      <c r="C4" s="611">
        <v>92</v>
      </c>
      <c r="D4" s="611">
        <v>32</v>
      </c>
      <c r="E4" s="617">
        <v>8</v>
      </c>
      <c r="F4" s="618">
        <v>6</v>
      </c>
      <c r="G4" s="610">
        <v>13</v>
      </c>
      <c r="H4" s="196">
        <f>SUM(C4:G4)</f>
        <v>151</v>
      </c>
      <c r="I4" s="197">
        <f>H4*B4</f>
        <v>48924</v>
      </c>
      <c r="J4" s="524">
        <f>H4-H14</f>
        <v>0</v>
      </c>
      <c r="L4" s="118"/>
      <c r="M4" s="652"/>
    </row>
    <row r="5" spans="1:17" ht="12.75">
      <c r="A5" s="262" t="s">
        <v>10</v>
      </c>
      <c r="B5" s="528">
        <f>$C$111</f>
        <v>0</v>
      </c>
      <c r="C5" s="485">
        <v>0</v>
      </c>
      <c r="D5" s="489">
        <v>0</v>
      </c>
      <c r="E5" s="486">
        <v>0</v>
      </c>
      <c r="F5" s="490">
        <v>0</v>
      </c>
      <c r="G5" s="491">
        <v>0</v>
      </c>
      <c r="H5" s="196">
        <f>SUM(C5:G5)</f>
        <v>0</v>
      </c>
      <c r="I5" s="197">
        <f>H5*B5</f>
        <v>0</v>
      </c>
      <c r="J5" s="524">
        <f>H5-H15</f>
        <v>0</v>
      </c>
      <c r="K5" s="151"/>
      <c r="L5" s="118"/>
      <c r="M5" s="652"/>
      <c r="N5" s="264"/>
      <c r="O5" s="264"/>
      <c r="P5" s="168"/>
      <c r="Q5" s="168"/>
    </row>
    <row r="6" spans="1:13" ht="13.5" thickBot="1">
      <c r="A6" s="200" t="s">
        <v>237</v>
      </c>
      <c r="B6" s="529">
        <f>$D$111</f>
        <v>36</v>
      </c>
      <c r="C6" s="492">
        <v>10</v>
      </c>
      <c r="D6" s="493">
        <v>0</v>
      </c>
      <c r="E6" s="494">
        <v>0</v>
      </c>
      <c r="F6" s="493">
        <v>0</v>
      </c>
      <c r="G6" s="495">
        <v>0</v>
      </c>
      <c r="H6" s="270">
        <f>SUM(C6:G6)</f>
        <v>10</v>
      </c>
      <c r="I6" s="198">
        <f>H6*B6</f>
        <v>360</v>
      </c>
      <c r="J6" s="525">
        <f>H6-H16</f>
        <v>0</v>
      </c>
      <c r="L6" s="118"/>
      <c r="M6" s="652"/>
    </row>
    <row r="7" spans="1:13" ht="13.5" thickBot="1">
      <c r="A7" s="2"/>
      <c r="B7" s="530"/>
      <c r="C7" s="464"/>
      <c r="D7" s="496"/>
      <c r="E7" s="496"/>
      <c r="F7" s="497"/>
      <c r="G7" s="467"/>
      <c r="L7" s="118"/>
      <c r="M7" s="652"/>
    </row>
    <row r="8" spans="1:13" ht="12.75">
      <c r="A8" s="217" t="s">
        <v>521</v>
      </c>
      <c r="B8" s="531"/>
      <c r="C8" s="498"/>
      <c r="D8" s="499"/>
      <c r="E8" s="500"/>
      <c r="F8" s="501"/>
      <c r="G8" s="501"/>
      <c r="H8" s="218"/>
      <c r="I8" s="218"/>
      <c r="L8" s="118"/>
      <c r="M8" s="652"/>
    </row>
    <row r="9" spans="1:13" ht="12.75">
      <c r="A9" s="59" t="s">
        <v>9</v>
      </c>
      <c r="B9" s="532">
        <v>324</v>
      </c>
      <c r="C9" s="502">
        <v>92</v>
      </c>
      <c r="D9" s="503">
        <v>32</v>
      </c>
      <c r="E9" s="504">
        <v>8</v>
      </c>
      <c r="F9" s="486">
        <v>6</v>
      </c>
      <c r="G9" s="487">
        <v>13</v>
      </c>
      <c r="H9" s="94">
        <f>SUM(C9:G9)</f>
        <v>151</v>
      </c>
      <c r="I9" s="98">
        <f>H9*B9</f>
        <v>48924</v>
      </c>
      <c r="L9" s="118"/>
      <c r="M9" s="652"/>
    </row>
    <row r="10" spans="1:13" ht="12.75">
      <c r="A10" s="60" t="s">
        <v>10</v>
      </c>
      <c r="B10" s="532">
        <v>0</v>
      </c>
      <c r="C10" s="502"/>
      <c r="D10" s="488"/>
      <c r="E10" s="486"/>
      <c r="F10" s="490"/>
      <c r="G10" s="491"/>
      <c r="H10" s="94">
        <f>SUM(C10:G10)</f>
        <v>0</v>
      </c>
      <c r="I10" s="98">
        <f>H10*B10</f>
        <v>0</v>
      </c>
      <c r="L10" s="118"/>
      <c r="M10" s="652"/>
    </row>
    <row r="11" spans="1:13" ht="13.5" thickBot="1">
      <c r="A11" s="61" t="s">
        <v>237</v>
      </c>
      <c r="B11" s="533">
        <v>36</v>
      </c>
      <c r="C11" s="505">
        <v>10</v>
      </c>
      <c r="D11" s="506">
        <v>0</v>
      </c>
      <c r="E11" s="494">
        <v>0</v>
      </c>
      <c r="F11" s="507">
        <v>0</v>
      </c>
      <c r="G11" s="495">
        <v>0</v>
      </c>
      <c r="H11" s="568">
        <f>SUM(C11:G11)</f>
        <v>10</v>
      </c>
      <c r="I11" s="99">
        <f>H11*B11</f>
        <v>360</v>
      </c>
      <c r="L11" s="118"/>
      <c r="M11" s="652"/>
    </row>
    <row r="12" spans="1:13" ht="13.5" thickBot="1">
      <c r="A12" s="2"/>
      <c r="B12" s="530"/>
      <c r="C12" s="464"/>
      <c r="D12" s="496"/>
      <c r="E12" s="496"/>
      <c r="F12" s="497"/>
      <c r="G12" s="467"/>
      <c r="L12" s="118"/>
      <c r="M12" s="652"/>
    </row>
    <row r="13" spans="1:10" ht="12.75">
      <c r="A13" s="217" t="s">
        <v>499</v>
      </c>
      <c r="B13" s="531"/>
      <c r="C13" s="498"/>
      <c r="D13" s="499"/>
      <c r="E13" s="500"/>
      <c r="F13" s="501"/>
      <c r="G13" s="501"/>
      <c r="H13" s="218"/>
      <c r="I13" s="218"/>
      <c r="J13" s="168"/>
    </row>
    <row r="14" spans="1:10" ht="12.75">
      <c r="A14" s="59" t="s">
        <v>9</v>
      </c>
      <c r="B14" s="532">
        <v>324</v>
      </c>
      <c r="C14" s="502">
        <v>96</v>
      </c>
      <c r="D14" s="503">
        <v>24</v>
      </c>
      <c r="E14" s="504">
        <v>10</v>
      </c>
      <c r="F14" s="486">
        <v>5</v>
      </c>
      <c r="G14" s="487">
        <v>16</v>
      </c>
      <c r="H14" s="94">
        <f>SUM(C14:G14)</f>
        <v>151</v>
      </c>
      <c r="I14" s="98">
        <f>H14*B14</f>
        <v>48924</v>
      </c>
      <c r="J14" s="168"/>
    </row>
    <row r="15" spans="1:10" ht="12.75">
      <c r="A15" s="60" t="s">
        <v>10</v>
      </c>
      <c r="B15" s="532">
        <v>0</v>
      </c>
      <c r="C15" s="502"/>
      <c r="D15" s="488"/>
      <c r="E15" s="486"/>
      <c r="F15" s="490"/>
      <c r="G15" s="491"/>
      <c r="H15" s="94">
        <f>SUM(C15:G15)</f>
        <v>0</v>
      </c>
      <c r="I15" s="98">
        <f>H15*B15</f>
        <v>0</v>
      </c>
      <c r="J15" s="168"/>
    </row>
    <row r="16" spans="1:10" ht="13.5" thickBot="1">
      <c r="A16" s="61" t="s">
        <v>237</v>
      </c>
      <c r="B16" s="533">
        <v>36</v>
      </c>
      <c r="C16" s="505">
        <v>10</v>
      </c>
      <c r="D16" s="506">
        <v>0</v>
      </c>
      <c r="E16" s="494">
        <v>0</v>
      </c>
      <c r="F16" s="507">
        <v>0</v>
      </c>
      <c r="G16" s="495">
        <v>0</v>
      </c>
      <c r="H16" s="568">
        <f>SUM(C16:G16)</f>
        <v>10</v>
      </c>
      <c r="I16" s="99">
        <f>H16*B16</f>
        <v>360</v>
      </c>
      <c r="J16" s="168"/>
    </row>
    <row r="17" spans="1:7" ht="13.5" thickBot="1">
      <c r="A17" s="2"/>
      <c r="B17" s="530"/>
      <c r="C17" s="464"/>
      <c r="D17" s="496"/>
      <c r="E17" s="496"/>
      <c r="F17" s="497"/>
      <c r="G17" s="467"/>
    </row>
    <row r="18" spans="1:9" ht="12.75">
      <c r="A18" s="217" t="s">
        <v>473</v>
      </c>
      <c r="B18" s="531"/>
      <c r="C18" s="498"/>
      <c r="D18" s="499"/>
      <c r="E18" s="500"/>
      <c r="F18" s="501"/>
      <c r="G18" s="501"/>
      <c r="H18" s="218"/>
      <c r="I18" s="218"/>
    </row>
    <row r="19" spans="1:9" ht="12.75">
      <c r="A19" s="59" t="s">
        <v>9</v>
      </c>
      <c r="B19" s="532">
        <v>324</v>
      </c>
      <c r="C19" s="502">
        <v>88</v>
      </c>
      <c r="D19" s="503">
        <v>30</v>
      </c>
      <c r="E19" s="504">
        <v>14</v>
      </c>
      <c r="F19" s="486">
        <v>5</v>
      </c>
      <c r="G19" s="487">
        <v>18</v>
      </c>
      <c r="H19" s="94">
        <f>SUM(C19:G19)</f>
        <v>155</v>
      </c>
      <c r="I19" s="98">
        <f>H19*B19</f>
        <v>50220</v>
      </c>
    </row>
    <row r="20" spans="1:9" ht="12.75">
      <c r="A20" s="60" t="s">
        <v>10</v>
      </c>
      <c r="B20" s="532">
        <v>0</v>
      </c>
      <c r="C20" s="502"/>
      <c r="D20" s="488"/>
      <c r="E20" s="486"/>
      <c r="F20" s="490"/>
      <c r="G20" s="491"/>
      <c r="H20" s="94">
        <f>SUM(C20:G20)</f>
        <v>0</v>
      </c>
      <c r="I20" s="98">
        <f>H20*B20</f>
        <v>0</v>
      </c>
    </row>
    <row r="21" spans="1:9" ht="13.5" thickBot="1">
      <c r="A21" s="61" t="s">
        <v>237</v>
      </c>
      <c r="B21" s="533">
        <v>36</v>
      </c>
      <c r="C21" s="505">
        <v>10</v>
      </c>
      <c r="D21" s="506">
        <v>0</v>
      </c>
      <c r="E21" s="494">
        <v>0</v>
      </c>
      <c r="F21" s="507">
        <v>0</v>
      </c>
      <c r="G21" s="495">
        <v>0</v>
      </c>
      <c r="H21" s="568">
        <f>SUM(C21:G21)</f>
        <v>10</v>
      </c>
      <c r="I21" s="99">
        <f>H21*B21</f>
        <v>360</v>
      </c>
    </row>
    <row r="22" spans="1:7" ht="13.5" thickBot="1">
      <c r="A22" s="2"/>
      <c r="B22" s="530"/>
      <c r="C22" s="464"/>
      <c r="D22" s="496"/>
      <c r="E22" s="496"/>
      <c r="F22" s="497"/>
      <c r="G22" s="467"/>
    </row>
    <row r="23" spans="1:9" ht="12.75">
      <c r="A23" s="217" t="s">
        <v>464</v>
      </c>
      <c r="B23" s="531"/>
      <c r="C23" s="498"/>
      <c r="D23" s="499"/>
      <c r="E23" s="500"/>
      <c r="F23" s="501"/>
      <c r="G23" s="501"/>
      <c r="H23" s="218"/>
      <c r="I23" s="218"/>
    </row>
    <row r="24" spans="1:9" ht="12.75">
      <c r="A24" s="59" t="s">
        <v>9</v>
      </c>
      <c r="B24" s="532">
        <v>324</v>
      </c>
      <c r="C24" s="502">
        <v>88</v>
      </c>
      <c r="D24" s="503">
        <v>30</v>
      </c>
      <c r="E24" s="504">
        <v>14</v>
      </c>
      <c r="F24" s="486">
        <v>5</v>
      </c>
      <c r="G24" s="487">
        <v>18</v>
      </c>
      <c r="H24" s="94">
        <f>SUM(C24:G24)</f>
        <v>155</v>
      </c>
      <c r="I24" s="98">
        <f>H24*B24</f>
        <v>50220</v>
      </c>
    </row>
    <row r="25" spans="1:9" ht="12.75">
      <c r="A25" s="60" t="s">
        <v>10</v>
      </c>
      <c r="B25" s="532">
        <v>0</v>
      </c>
      <c r="C25" s="502"/>
      <c r="D25" s="488"/>
      <c r="E25" s="486"/>
      <c r="F25" s="490"/>
      <c r="G25" s="491"/>
      <c r="H25" s="94">
        <f>SUM(C25:G25)</f>
        <v>0</v>
      </c>
      <c r="I25" s="98">
        <f>H25*B25</f>
        <v>0</v>
      </c>
    </row>
    <row r="26" spans="1:9" ht="13.5" thickBot="1">
      <c r="A26" s="61" t="s">
        <v>237</v>
      </c>
      <c r="B26" s="533">
        <v>36</v>
      </c>
      <c r="C26" s="505">
        <v>10</v>
      </c>
      <c r="D26" s="506">
        <v>0</v>
      </c>
      <c r="E26" s="494">
        <v>0</v>
      </c>
      <c r="F26" s="507">
        <v>0</v>
      </c>
      <c r="G26" s="495">
        <v>0</v>
      </c>
      <c r="H26" s="568">
        <f>SUM(C26:G26)</f>
        <v>10</v>
      </c>
      <c r="I26" s="99">
        <f>H26*B26</f>
        <v>360</v>
      </c>
    </row>
    <row r="27" spans="1:7" ht="12.75">
      <c r="A27" s="2"/>
      <c r="B27" s="530"/>
      <c r="C27" s="464"/>
      <c r="D27" s="496"/>
      <c r="E27" s="496"/>
      <c r="F27" s="497"/>
      <c r="G27" s="467"/>
    </row>
    <row r="28" spans="1:11" ht="12.75" hidden="1">
      <c r="A28" s="217" t="s">
        <v>420</v>
      </c>
      <c r="B28" s="531"/>
      <c r="C28" s="498"/>
      <c r="D28" s="499"/>
      <c r="E28" s="500"/>
      <c r="F28" s="501"/>
      <c r="G28" s="501"/>
      <c r="H28" s="218"/>
      <c r="I28" s="218"/>
      <c r="K28" t="s">
        <v>376</v>
      </c>
    </row>
    <row r="29" spans="1:14" ht="12.75" hidden="1">
      <c r="A29" s="59" t="s">
        <v>9</v>
      </c>
      <c r="B29" s="532">
        <v>324</v>
      </c>
      <c r="C29" s="502">
        <v>84</v>
      </c>
      <c r="D29" s="503">
        <v>34</v>
      </c>
      <c r="E29" s="504">
        <v>14</v>
      </c>
      <c r="F29" s="486">
        <v>5</v>
      </c>
      <c r="G29" s="487">
        <v>18</v>
      </c>
      <c r="H29" s="94">
        <v>155</v>
      </c>
      <c r="I29" s="98">
        <v>50220</v>
      </c>
      <c r="M29" s="47" t="s">
        <v>377</v>
      </c>
      <c r="N29" s="374">
        <f>C4-C5</f>
        <v>92</v>
      </c>
    </row>
    <row r="30" spans="1:9" ht="12.75" hidden="1">
      <c r="A30" s="60" t="s">
        <v>10</v>
      </c>
      <c r="B30" s="532">
        <v>0</v>
      </c>
      <c r="C30" s="502"/>
      <c r="D30" s="488"/>
      <c r="E30" s="486"/>
      <c r="F30" s="490"/>
      <c r="G30" s="491">
        <v>0</v>
      </c>
      <c r="H30" s="94">
        <v>0</v>
      </c>
      <c r="I30" s="98">
        <v>0</v>
      </c>
    </row>
    <row r="31" spans="1:9" ht="13.5" hidden="1" thickBot="1">
      <c r="A31" s="61" t="s">
        <v>237</v>
      </c>
      <c r="B31" s="533">
        <v>36</v>
      </c>
      <c r="C31" s="505">
        <v>10</v>
      </c>
      <c r="D31" s="506">
        <v>0</v>
      </c>
      <c r="E31" s="494">
        <v>0</v>
      </c>
      <c r="F31" s="507">
        <v>0</v>
      </c>
      <c r="G31" s="495">
        <v>0</v>
      </c>
      <c r="H31" s="568">
        <v>10</v>
      </c>
      <c r="I31" s="99">
        <v>360</v>
      </c>
    </row>
    <row r="32" spans="1:7" ht="13.5" hidden="1" thickBot="1">
      <c r="A32" s="2"/>
      <c r="B32" s="530"/>
      <c r="C32" s="464"/>
      <c r="D32" s="496"/>
      <c r="E32" s="496"/>
      <c r="F32" s="497"/>
      <c r="G32" s="467"/>
    </row>
    <row r="33" spans="1:9" ht="12.75" hidden="1">
      <c r="A33" s="217" t="s">
        <v>378</v>
      </c>
      <c r="B33" s="531"/>
      <c r="C33" s="498"/>
      <c r="D33" s="499"/>
      <c r="E33" s="500"/>
      <c r="F33" s="501"/>
      <c r="G33" s="501"/>
      <c r="H33" s="218"/>
      <c r="I33" s="218"/>
    </row>
    <row r="34" spans="1:10" ht="12.75" hidden="1">
      <c r="A34" s="59" t="s">
        <v>9</v>
      </c>
      <c r="B34" s="532">
        <v>312</v>
      </c>
      <c r="C34" s="502">
        <v>84</v>
      </c>
      <c r="D34" s="503">
        <v>35</v>
      </c>
      <c r="E34" s="504">
        <v>15</v>
      </c>
      <c r="F34" s="486">
        <v>12</v>
      </c>
      <c r="G34" s="487">
        <v>19</v>
      </c>
      <c r="H34" s="94">
        <v>165</v>
      </c>
      <c r="I34" s="98">
        <v>50544</v>
      </c>
      <c r="J34" s="372"/>
    </row>
    <row r="35" spans="1:9" ht="12.75" hidden="1">
      <c r="A35" s="60" t="s">
        <v>10</v>
      </c>
      <c r="B35" s="532">
        <v>12</v>
      </c>
      <c r="C35" s="502">
        <v>47</v>
      </c>
      <c r="D35" s="488">
        <v>35</v>
      </c>
      <c r="E35" s="486">
        <v>15</v>
      </c>
      <c r="F35" s="490">
        <v>12</v>
      </c>
      <c r="G35" s="491">
        <v>0</v>
      </c>
      <c r="H35" s="94">
        <v>112</v>
      </c>
      <c r="I35" s="98">
        <v>1344</v>
      </c>
    </row>
    <row r="36" spans="1:9" ht="13.5" hidden="1" thickBot="1">
      <c r="A36" s="61" t="s">
        <v>237</v>
      </c>
      <c r="B36" s="533">
        <v>36</v>
      </c>
      <c r="C36" s="505">
        <v>10</v>
      </c>
      <c r="D36" s="506">
        <v>0</v>
      </c>
      <c r="E36" s="494">
        <v>0</v>
      </c>
      <c r="F36" s="507">
        <v>0</v>
      </c>
      <c r="G36" s="495">
        <v>0</v>
      </c>
      <c r="H36" s="568">
        <v>10</v>
      </c>
      <c r="I36" s="99">
        <v>480</v>
      </c>
    </row>
    <row r="37" spans="1:7" ht="13.5" hidden="1" thickBot="1">
      <c r="A37" s="2"/>
      <c r="B37" s="530"/>
      <c r="C37" s="464"/>
      <c r="D37" s="496"/>
      <c r="E37" s="496"/>
      <c r="F37" s="497"/>
      <c r="G37" s="467"/>
    </row>
    <row r="38" spans="1:9" ht="12.75" hidden="1">
      <c r="A38" s="217" t="s">
        <v>348</v>
      </c>
      <c r="B38" s="531"/>
      <c r="C38" s="498"/>
      <c r="D38" s="499"/>
      <c r="E38" s="500"/>
      <c r="F38" s="501"/>
      <c r="G38" s="501"/>
      <c r="H38" s="218"/>
      <c r="I38" s="218"/>
    </row>
    <row r="39" spans="1:9" ht="12.75" hidden="1">
      <c r="A39" s="59" t="s">
        <v>9</v>
      </c>
      <c r="B39" s="532">
        <v>312</v>
      </c>
      <c r="C39" s="502">
        <v>80</v>
      </c>
      <c r="D39" s="503">
        <v>35</v>
      </c>
      <c r="E39" s="504">
        <v>15</v>
      </c>
      <c r="F39" s="486">
        <v>13</v>
      </c>
      <c r="G39" s="487">
        <v>19</v>
      </c>
      <c r="H39" s="94">
        <v>162</v>
      </c>
      <c r="I39" s="98">
        <v>50544</v>
      </c>
    </row>
    <row r="40" spans="1:9" ht="12.75" hidden="1">
      <c r="A40" s="60" t="s">
        <v>10</v>
      </c>
      <c r="B40" s="532">
        <v>12</v>
      </c>
      <c r="C40" s="502">
        <v>49</v>
      </c>
      <c r="D40" s="488">
        <v>35</v>
      </c>
      <c r="E40" s="486">
        <v>15</v>
      </c>
      <c r="F40" s="490">
        <v>13</v>
      </c>
      <c r="G40" s="491">
        <v>0</v>
      </c>
      <c r="H40" s="94">
        <v>112</v>
      </c>
      <c r="I40" s="98">
        <v>1344</v>
      </c>
    </row>
    <row r="41" spans="1:9" ht="13.5" hidden="1" thickBot="1">
      <c r="A41" s="61" t="s">
        <v>237</v>
      </c>
      <c r="B41" s="533">
        <v>48</v>
      </c>
      <c r="C41" s="505">
        <v>10</v>
      </c>
      <c r="D41" s="506">
        <v>0</v>
      </c>
      <c r="E41" s="494">
        <v>0</v>
      </c>
      <c r="F41" s="507">
        <v>0</v>
      </c>
      <c r="G41" s="495">
        <v>0</v>
      </c>
      <c r="H41" s="568">
        <v>10</v>
      </c>
      <c r="I41" s="99">
        <v>480</v>
      </c>
    </row>
    <row r="42" spans="1:7" ht="13.5" hidden="1" thickBot="1">
      <c r="A42" s="2"/>
      <c r="B42" s="530"/>
      <c r="C42" s="464"/>
      <c r="D42" s="496"/>
      <c r="E42" s="496"/>
      <c r="F42" s="497"/>
      <c r="G42" s="467"/>
    </row>
    <row r="43" spans="1:9" ht="12.75" hidden="1">
      <c r="A43" s="217" t="s">
        <v>324</v>
      </c>
      <c r="B43" s="531"/>
      <c r="C43" s="498"/>
      <c r="D43" s="499"/>
      <c r="E43" s="500"/>
      <c r="F43" s="501"/>
      <c r="G43" s="501"/>
      <c r="H43" s="218"/>
      <c r="I43" s="218"/>
    </row>
    <row r="44" spans="1:9" ht="12.75" hidden="1">
      <c r="A44" s="59" t="s">
        <v>9</v>
      </c>
      <c r="B44" s="532">
        <v>312</v>
      </c>
      <c r="C44" s="502">
        <v>83</v>
      </c>
      <c r="D44" s="503">
        <v>35</v>
      </c>
      <c r="E44" s="504">
        <v>15</v>
      </c>
      <c r="F44" s="486">
        <v>13</v>
      </c>
      <c r="G44" s="487">
        <v>19</v>
      </c>
      <c r="H44" s="94">
        <v>165</v>
      </c>
      <c r="I44" s="98">
        <v>51480</v>
      </c>
    </row>
    <row r="45" spans="1:9" ht="12.75" hidden="1">
      <c r="A45" s="60" t="s">
        <v>10</v>
      </c>
      <c r="B45" s="532">
        <v>12</v>
      </c>
      <c r="C45" s="502">
        <v>50</v>
      </c>
      <c r="D45" s="488">
        <v>35</v>
      </c>
      <c r="E45" s="486">
        <v>15</v>
      </c>
      <c r="F45" s="490">
        <v>13</v>
      </c>
      <c r="G45" s="491">
        <v>0</v>
      </c>
      <c r="H45" s="94">
        <v>113</v>
      </c>
      <c r="I45" s="98">
        <v>1356</v>
      </c>
    </row>
    <row r="46" spans="1:9" ht="13.5" hidden="1" thickBot="1">
      <c r="A46" s="61" t="s">
        <v>237</v>
      </c>
      <c r="B46" s="533">
        <v>48</v>
      </c>
      <c r="C46" s="505">
        <v>10</v>
      </c>
      <c r="D46" s="506">
        <v>0</v>
      </c>
      <c r="E46" s="494">
        <v>0</v>
      </c>
      <c r="F46" s="507">
        <v>0</v>
      </c>
      <c r="G46" s="495">
        <v>0</v>
      </c>
      <c r="H46" s="568">
        <v>10</v>
      </c>
      <c r="I46" s="99">
        <v>480</v>
      </c>
    </row>
    <row r="47" spans="1:11" ht="13.5" hidden="1" thickBot="1">
      <c r="A47" s="2"/>
      <c r="B47" s="530"/>
      <c r="C47" s="464"/>
      <c r="D47" s="496"/>
      <c r="E47" s="496"/>
      <c r="F47" s="497"/>
      <c r="G47" s="467"/>
      <c r="K47" s="373"/>
    </row>
    <row r="48" spans="1:10" ht="12.75" hidden="1">
      <c r="A48" s="217" t="s">
        <v>294</v>
      </c>
      <c r="B48" s="534"/>
      <c r="C48" s="508"/>
      <c r="D48" s="509"/>
      <c r="E48" s="510"/>
      <c r="F48" s="511"/>
      <c r="G48" s="512"/>
      <c r="H48" s="220"/>
      <c r="I48" s="219"/>
      <c r="J48" s="1"/>
    </row>
    <row r="49" spans="1:12" ht="12.75" hidden="1">
      <c r="A49" s="86" t="s">
        <v>9</v>
      </c>
      <c r="B49" s="535">
        <v>312</v>
      </c>
      <c r="C49" s="513">
        <v>83</v>
      </c>
      <c r="D49" s="514">
        <v>35</v>
      </c>
      <c r="E49" s="504">
        <v>15</v>
      </c>
      <c r="F49" s="515">
        <v>13</v>
      </c>
      <c r="G49" s="516">
        <v>19</v>
      </c>
      <c r="H49" s="567">
        <f>SUM(C49:G49)</f>
        <v>165</v>
      </c>
      <c r="I49" s="95">
        <f>H49*B49</f>
        <v>51480</v>
      </c>
      <c r="J49" s="85"/>
      <c r="L49" s="42"/>
    </row>
    <row r="50" spans="1:11" ht="12.75" hidden="1">
      <c r="A50" s="87" t="s">
        <v>10</v>
      </c>
      <c r="B50" s="532">
        <v>12</v>
      </c>
      <c r="C50" s="502">
        <v>50</v>
      </c>
      <c r="D50" s="488">
        <v>35</v>
      </c>
      <c r="E50" s="486">
        <v>15</v>
      </c>
      <c r="F50" s="504">
        <v>13</v>
      </c>
      <c r="G50" s="517">
        <v>0</v>
      </c>
      <c r="H50" s="94">
        <f>SUM(C50:G50)</f>
        <v>113</v>
      </c>
      <c r="I50" s="96">
        <f>H50*B50</f>
        <v>1356</v>
      </c>
      <c r="J50" s="85"/>
      <c r="K50" s="372"/>
    </row>
    <row r="51" spans="1:10" ht="13.5" hidden="1" thickBot="1">
      <c r="A51" s="88" t="s">
        <v>237</v>
      </c>
      <c r="B51" s="533">
        <v>48</v>
      </c>
      <c r="C51" s="505">
        <v>10</v>
      </c>
      <c r="D51" s="506">
        <v>0</v>
      </c>
      <c r="E51" s="518">
        <v>0</v>
      </c>
      <c r="F51" s="519">
        <v>0</v>
      </c>
      <c r="G51" s="495">
        <v>0</v>
      </c>
      <c r="H51" s="568">
        <f>SUM(C51:G51)</f>
        <v>10</v>
      </c>
      <c r="I51" s="97">
        <f>H51*B51</f>
        <v>480</v>
      </c>
      <c r="J51" s="85"/>
    </row>
    <row r="52" spans="1:8" ht="13.5" hidden="1" thickBot="1">
      <c r="A52" s="2"/>
      <c r="B52" s="530"/>
      <c r="C52" s="464"/>
      <c r="D52" s="496"/>
      <c r="E52" s="496"/>
      <c r="F52" s="497"/>
      <c r="G52" s="467"/>
      <c r="H52" s="6"/>
    </row>
    <row r="53" spans="1:10" ht="12.75" hidden="1">
      <c r="A53" s="217" t="s">
        <v>276</v>
      </c>
      <c r="B53" s="534"/>
      <c r="C53" s="508"/>
      <c r="D53" s="509"/>
      <c r="E53" s="510"/>
      <c r="F53" s="511"/>
      <c r="G53" s="512"/>
      <c r="H53" s="569"/>
      <c r="I53" s="219"/>
      <c r="J53" s="1"/>
    </row>
    <row r="54" spans="1:12" ht="12.75" hidden="1">
      <c r="A54" s="86" t="s">
        <v>9</v>
      </c>
      <c r="B54" s="535">
        <v>312</v>
      </c>
      <c r="C54" s="513">
        <v>81</v>
      </c>
      <c r="D54" s="514">
        <v>30</v>
      </c>
      <c r="E54" s="504">
        <v>16</v>
      </c>
      <c r="F54" s="515">
        <v>13</v>
      </c>
      <c r="G54" s="516">
        <v>20</v>
      </c>
      <c r="H54" s="567">
        <f>SUM(C54:G54)</f>
        <v>160</v>
      </c>
      <c r="I54" s="95">
        <f>H54*B54</f>
        <v>49920</v>
      </c>
      <c r="J54" s="85"/>
      <c r="L54" s="42"/>
    </row>
    <row r="55" spans="1:10" ht="12.75" hidden="1">
      <c r="A55" s="87" t="s">
        <v>10</v>
      </c>
      <c r="B55" s="532">
        <v>12</v>
      </c>
      <c r="C55" s="502">
        <v>47</v>
      </c>
      <c r="D55" s="488">
        <v>30</v>
      </c>
      <c r="E55" s="486">
        <v>16</v>
      </c>
      <c r="F55" s="504">
        <v>13</v>
      </c>
      <c r="G55" s="517">
        <v>0</v>
      </c>
      <c r="H55" s="94">
        <f>SUM(C55:G55)</f>
        <v>106</v>
      </c>
      <c r="I55" s="96">
        <f>H55*B55</f>
        <v>1272</v>
      </c>
      <c r="J55" s="85"/>
    </row>
    <row r="56" spans="1:10" ht="13.5" hidden="1" thickBot="1">
      <c r="A56" s="88" t="s">
        <v>237</v>
      </c>
      <c r="B56" s="533">
        <v>24</v>
      </c>
      <c r="C56" s="505">
        <v>10</v>
      </c>
      <c r="D56" s="506">
        <v>0</v>
      </c>
      <c r="E56" s="518">
        <v>0</v>
      </c>
      <c r="F56" s="519">
        <v>0</v>
      </c>
      <c r="G56" s="495">
        <v>0</v>
      </c>
      <c r="H56" s="568">
        <f>SUM(C56:G56)</f>
        <v>10</v>
      </c>
      <c r="I56" s="97">
        <f>H56*B56</f>
        <v>240</v>
      </c>
      <c r="J56" s="85"/>
    </row>
    <row r="57" spans="1:8" ht="13.5" hidden="1" thickBot="1">
      <c r="A57" s="2"/>
      <c r="B57" s="530"/>
      <c r="C57" s="464"/>
      <c r="D57" s="496"/>
      <c r="E57" s="496"/>
      <c r="F57" s="497"/>
      <c r="G57" s="467"/>
      <c r="H57" s="6"/>
    </row>
    <row r="58" spans="1:10" ht="12.75" hidden="1">
      <c r="A58" s="217" t="s">
        <v>236</v>
      </c>
      <c r="B58" s="534"/>
      <c r="C58" s="508"/>
      <c r="D58" s="509"/>
      <c r="E58" s="510"/>
      <c r="F58" s="511"/>
      <c r="G58" s="512"/>
      <c r="H58" s="569"/>
      <c r="I58" s="219"/>
      <c r="J58" s="1"/>
    </row>
    <row r="59" spans="1:12" ht="12.75" hidden="1">
      <c r="A59" s="86" t="s">
        <v>9</v>
      </c>
      <c r="B59" s="535">
        <v>312</v>
      </c>
      <c r="C59" s="513">
        <v>82</v>
      </c>
      <c r="D59" s="514">
        <v>30</v>
      </c>
      <c r="E59" s="504">
        <v>16</v>
      </c>
      <c r="F59" s="515">
        <v>13</v>
      </c>
      <c r="G59" s="516">
        <v>19</v>
      </c>
      <c r="H59" s="567">
        <f>SUM(C59:G59)</f>
        <v>160</v>
      </c>
      <c r="I59" s="95">
        <f>H59*B59</f>
        <v>49920</v>
      </c>
      <c r="J59" s="85"/>
      <c r="L59" s="42"/>
    </row>
    <row r="60" spans="1:10" ht="12.75" hidden="1">
      <c r="A60" s="87" t="s">
        <v>10</v>
      </c>
      <c r="B60" s="532">
        <v>12</v>
      </c>
      <c r="C60" s="502">
        <v>47</v>
      </c>
      <c r="D60" s="488">
        <v>30</v>
      </c>
      <c r="E60" s="486">
        <v>16</v>
      </c>
      <c r="F60" s="504">
        <v>13</v>
      </c>
      <c r="G60" s="517">
        <v>0</v>
      </c>
      <c r="H60" s="94">
        <f>SUM(C60:G60)</f>
        <v>106</v>
      </c>
      <c r="I60" s="96">
        <f>H60*B60</f>
        <v>1272</v>
      </c>
      <c r="J60" s="85"/>
    </row>
    <row r="61" spans="1:10" ht="13.5" hidden="1" thickBot="1">
      <c r="A61" s="88" t="s">
        <v>237</v>
      </c>
      <c r="B61" s="533">
        <v>12</v>
      </c>
      <c r="C61" s="505">
        <v>10</v>
      </c>
      <c r="D61" s="506">
        <v>0</v>
      </c>
      <c r="E61" s="518">
        <v>0</v>
      </c>
      <c r="F61" s="519">
        <v>0</v>
      </c>
      <c r="G61" s="495">
        <v>0</v>
      </c>
      <c r="H61" s="568">
        <f>SUM(C61:G61)</f>
        <v>10</v>
      </c>
      <c r="I61" s="97">
        <f>H61*B61</f>
        <v>120</v>
      </c>
      <c r="J61" s="85"/>
    </row>
    <row r="62" spans="1:8" ht="13.5" hidden="1" thickBot="1">
      <c r="A62" s="2"/>
      <c r="B62" s="530"/>
      <c r="C62" s="464"/>
      <c r="D62" s="496"/>
      <c r="E62" s="496"/>
      <c r="F62" s="497"/>
      <c r="G62" s="467"/>
      <c r="H62" s="6"/>
    </row>
    <row r="63" spans="1:10" ht="12.75" hidden="1">
      <c r="A63" s="217" t="s">
        <v>205</v>
      </c>
      <c r="B63" s="534"/>
      <c r="C63" s="508"/>
      <c r="D63" s="509"/>
      <c r="E63" s="510"/>
      <c r="F63" s="511"/>
      <c r="G63" s="512"/>
      <c r="H63" s="569"/>
      <c r="I63" s="219"/>
      <c r="J63" s="1"/>
    </row>
    <row r="64" spans="1:12" ht="12.75" hidden="1">
      <c r="A64" s="86" t="s">
        <v>9</v>
      </c>
      <c r="B64" s="535">
        <v>312</v>
      </c>
      <c r="C64" s="513">
        <v>88</v>
      </c>
      <c r="D64" s="514">
        <v>30</v>
      </c>
      <c r="E64" s="504">
        <v>16</v>
      </c>
      <c r="F64" s="515">
        <v>9</v>
      </c>
      <c r="G64" s="516">
        <v>19</v>
      </c>
      <c r="H64" s="567">
        <f>SUM(C64:G64)</f>
        <v>162</v>
      </c>
      <c r="I64" s="95">
        <f>H64*B64</f>
        <v>50544</v>
      </c>
      <c r="J64" s="85"/>
      <c r="L64" s="42"/>
    </row>
    <row r="65" spans="1:10" ht="12.75" hidden="1">
      <c r="A65" s="87" t="s">
        <v>10</v>
      </c>
      <c r="B65" s="532">
        <v>0</v>
      </c>
      <c r="C65" s="502">
        <v>62</v>
      </c>
      <c r="D65" s="488">
        <v>30</v>
      </c>
      <c r="E65" s="486">
        <v>16</v>
      </c>
      <c r="F65" s="504">
        <v>9</v>
      </c>
      <c r="G65" s="517">
        <v>0</v>
      </c>
      <c r="H65" s="94">
        <f>SUM(C65:G65)</f>
        <v>117</v>
      </c>
      <c r="I65" s="96">
        <f>H65*B65</f>
        <v>0</v>
      </c>
      <c r="J65" s="85"/>
    </row>
    <row r="66" spans="1:10" ht="13.5" hidden="1" thickBot="1">
      <c r="A66" s="88" t="s">
        <v>218</v>
      </c>
      <c r="B66" s="533">
        <v>12</v>
      </c>
      <c r="C66" s="505">
        <v>10</v>
      </c>
      <c r="D66" s="506">
        <v>0</v>
      </c>
      <c r="E66" s="518">
        <v>0</v>
      </c>
      <c r="F66" s="519">
        <v>0</v>
      </c>
      <c r="G66" s="495">
        <v>0</v>
      </c>
      <c r="H66" s="568">
        <f>SUM(C66:G66)</f>
        <v>10</v>
      </c>
      <c r="I66" s="97">
        <f>H66*B66</f>
        <v>120</v>
      </c>
      <c r="J66" s="85"/>
    </row>
    <row r="67" spans="1:10" ht="13.5" hidden="1" thickBot="1">
      <c r="A67" s="55"/>
      <c r="B67" s="530"/>
      <c r="C67" s="520"/>
      <c r="D67" s="521"/>
      <c r="E67" s="522"/>
      <c r="F67" s="504"/>
      <c r="G67" s="523"/>
      <c r="H67" s="3"/>
      <c r="I67" s="84"/>
      <c r="J67" s="85"/>
    </row>
    <row r="68" spans="1:10" ht="12.75" hidden="1">
      <c r="A68" s="217" t="s">
        <v>142</v>
      </c>
      <c r="B68" s="534"/>
      <c r="C68" s="508"/>
      <c r="D68" s="509"/>
      <c r="E68" s="510"/>
      <c r="F68" s="511"/>
      <c r="G68" s="512"/>
      <c r="H68" s="569"/>
      <c r="I68" s="219"/>
      <c r="J68" s="1"/>
    </row>
    <row r="69" spans="1:12" ht="12.75" hidden="1">
      <c r="A69" s="86" t="s">
        <v>9</v>
      </c>
      <c r="B69" s="535">
        <v>288</v>
      </c>
      <c r="C69" s="513">
        <v>73</v>
      </c>
      <c r="D69" s="514">
        <v>30</v>
      </c>
      <c r="E69" s="504">
        <v>16</v>
      </c>
      <c r="F69" s="515">
        <v>9</v>
      </c>
      <c r="G69" s="516">
        <v>15</v>
      </c>
      <c r="H69" s="567">
        <f>SUM(C69:G69)</f>
        <v>143</v>
      </c>
      <c r="I69" s="95">
        <f>H69*B69</f>
        <v>41184</v>
      </c>
      <c r="J69" s="85"/>
      <c r="L69" s="42"/>
    </row>
    <row r="70" spans="1:10" ht="12.75" hidden="1">
      <c r="A70" s="87" t="s">
        <v>10</v>
      </c>
      <c r="B70" s="532">
        <v>24</v>
      </c>
      <c r="C70" s="502">
        <v>38</v>
      </c>
      <c r="D70" s="488">
        <v>10</v>
      </c>
      <c r="E70" s="486">
        <v>16</v>
      </c>
      <c r="F70" s="504">
        <v>9</v>
      </c>
      <c r="G70" s="517">
        <v>0</v>
      </c>
      <c r="H70" s="94">
        <f>SUM(C70:G70)</f>
        <v>73</v>
      </c>
      <c r="I70" s="96">
        <f>H70*B70</f>
        <v>1752</v>
      </c>
      <c r="J70" s="85"/>
    </row>
    <row r="71" spans="1:10" ht="13.5" hidden="1" thickBot="1">
      <c r="A71" s="88" t="s">
        <v>218</v>
      </c>
      <c r="B71" s="533">
        <v>12</v>
      </c>
      <c r="C71" s="505">
        <v>13</v>
      </c>
      <c r="D71" s="506">
        <v>0</v>
      </c>
      <c r="E71" s="518">
        <v>0</v>
      </c>
      <c r="F71" s="519">
        <v>0</v>
      </c>
      <c r="G71" s="495">
        <v>0</v>
      </c>
      <c r="H71" s="568">
        <f>SUM(C71:G71)</f>
        <v>13</v>
      </c>
      <c r="I71" s="97">
        <f>H71*B71</f>
        <v>156</v>
      </c>
      <c r="J71" s="85"/>
    </row>
    <row r="72" spans="1:10" ht="12.75">
      <c r="A72" s="55"/>
      <c r="B72" s="81"/>
      <c r="C72" s="90"/>
      <c r="D72" s="91"/>
      <c r="E72" s="92"/>
      <c r="F72" s="89"/>
      <c r="G72" s="93"/>
      <c r="H72" s="3"/>
      <c r="I72" s="84"/>
      <c r="J72" s="85"/>
    </row>
    <row r="73" spans="1:2" ht="13.5" thickBot="1">
      <c r="A73" s="2"/>
      <c r="B73" s="1"/>
    </row>
    <row r="74" spans="1:9" ht="38.25">
      <c r="A74" s="179" t="s">
        <v>138</v>
      </c>
      <c r="B74" s="180"/>
      <c r="C74" s="181" t="s">
        <v>21</v>
      </c>
      <c r="D74" s="182" t="s">
        <v>89</v>
      </c>
      <c r="E74" s="183" t="s">
        <v>139</v>
      </c>
      <c r="F74" s="183" t="s">
        <v>88</v>
      </c>
      <c r="G74" s="184" t="s">
        <v>80</v>
      </c>
      <c r="H74" s="185" t="s">
        <v>136</v>
      </c>
      <c r="I74" s="186" t="s">
        <v>135</v>
      </c>
    </row>
    <row r="75" spans="1:9" ht="12.75">
      <c r="A75" s="56" t="s">
        <v>19</v>
      </c>
      <c r="B75" s="599"/>
      <c r="C75" s="636">
        <f>B4*C4</f>
        <v>29808</v>
      </c>
      <c r="D75" s="637">
        <f>B4*D4</f>
        <v>10368</v>
      </c>
      <c r="E75" s="638">
        <f>B4*E4</f>
        <v>2592</v>
      </c>
      <c r="F75" s="639">
        <f>B4*F4</f>
        <v>1944</v>
      </c>
      <c r="G75" s="640">
        <f>G4*B4</f>
        <v>4212</v>
      </c>
      <c r="H75" s="641">
        <f>I75/12</f>
        <v>4077</v>
      </c>
      <c r="I75" s="642">
        <f>SUM(C75:G75)</f>
        <v>48924</v>
      </c>
    </row>
    <row r="76" spans="1:9" ht="12.75">
      <c r="A76" s="56" t="s">
        <v>20</v>
      </c>
      <c r="B76" s="601"/>
      <c r="C76" s="636">
        <f>B5*C5</f>
        <v>0</v>
      </c>
      <c r="D76" s="637">
        <f>B5*D5</f>
        <v>0</v>
      </c>
      <c r="E76" s="638">
        <f>B5*E5</f>
        <v>0</v>
      </c>
      <c r="F76" s="639">
        <f>B5*F5</f>
        <v>0</v>
      </c>
      <c r="G76" s="640">
        <f>B5*G5</f>
        <v>0</v>
      </c>
      <c r="H76" s="641">
        <f>I76/12</f>
        <v>0</v>
      </c>
      <c r="I76" s="642">
        <f>SUM(C76:G76)</f>
        <v>0</v>
      </c>
    </row>
    <row r="77" spans="1:9" ht="13.5" thickBot="1">
      <c r="A77" s="57" t="s">
        <v>240</v>
      </c>
      <c r="B77" s="599"/>
      <c r="C77" s="636">
        <f>B6*C6</f>
        <v>360</v>
      </c>
      <c r="D77" s="637">
        <f>B6*D6</f>
        <v>0</v>
      </c>
      <c r="E77" s="638">
        <f>B6*E6</f>
        <v>0</v>
      </c>
      <c r="F77" s="639">
        <f>B6*F6</f>
        <v>0</v>
      </c>
      <c r="G77" s="640">
        <f>B6*G6</f>
        <v>0</v>
      </c>
      <c r="H77" s="641">
        <f>I77/12</f>
        <v>30</v>
      </c>
      <c r="I77" s="642">
        <f>SUM(C77:G77)</f>
        <v>360</v>
      </c>
    </row>
    <row r="78" spans="1:9" ht="13.5" thickBot="1">
      <c r="A78" s="536" t="s">
        <v>11</v>
      </c>
      <c r="B78" s="594"/>
      <c r="C78" s="643">
        <f>SUM(C75:C77)</f>
        <v>30168</v>
      </c>
      <c r="D78" s="644">
        <f>SUM(D75:D77)</f>
        <v>10368</v>
      </c>
      <c r="E78" s="645">
        <f>SUM(E75:E77)</f>
        <v>2592</v>
      </c>
      <c r="F78" s="645">
        <f>SUM(F75:F77)</f>
        <v>1944</v>
      </c>
      <c r="G78" s="646">
        <f>SUM(G75:G77)</f>
        <v>4212</v>
      </c>
      <c r="H78" s="647">
        <f>I78/12</f>
        <v>4107</v>
      </c>
      <c r="I78" s="648">
        <f>SUM(C78:G78)</f>
        <v>49284</v>
      </c>
    </row>
    <row r="79" spans="1:9" s="1" customFormat="1" ht="12.75" customHeight="1">
      <c r="A79" s="82"/>
      <c r="C79" s="526"/>
      <c r="D79" s="526"/>
      <c r="E79" s="526"/>
      <c r="F79" s="526"/>
      <c r="G79" s="526"/>
      <c r="H79" s="527"/>
      <c r="I79" s="527"/>
    </row>
    <row r="80" spans="4:9" ht="12.75" customHeight="1">
      <c r="D80" s="63"/>
      <c r="E80" s="63"/>
      <c r="F80" s="63"/>
      <c r="G80" s="63"/>
      <c r="I80" s="63"/>
    </row>
    <row r="81" ht="12.75">
      <c r="A81" s="2"/>
    </row>
    <row r="82" spans="1:6" ht="12.75">
      <c r="A82" s="4"/>
      <c r="B82" s="481" t="s">
        <v>203</v>
      </c>
      <c r="C82" s="481" t="s">
        <v>133</v>
      </c>
      <c r="D82" s="481" t="s">
        <v>204</v>
      </c>
      <c r="F82" s="467"/>
    </row>
    <row r="83" spans="1:6" ht="12.75">
      <c r="A83" s="482" t="s">
        <v>216</v>
      </c>
      <c r="B83" s="187">
        <v>12</v>
      </c>
      <c r="C83" s="187"/>
      <c r="D83" s="187"/>
      <c r="F83">
        <v>1</v>
      </c>
    </row>
    <row r="84" spans="1:6" ht="12.75">
      <c r="A84" s="482" t="s">
        <v>548</v>
      </c>
      <c r="B84" s="187">
        <v>12</v>
      </c>
      <c r="C84" s="187"/>
      <c r="D84" s="187"/>
      <c r="F84">
        <v>1</v>
      </c>
    </row>
    <row r="85" spans="1:6" ht="12.75">
      <c r="A85" s="482" t="s">
        <v>12</v>
      </c>
      <c r="B85" s="187">
        <v>12</v>
      </c>
      <c r="C85" s="187"/>
      <c r="D85" s="187"/>
      <c r="F85">
        <v>1</v>
      </c>
    </row>
    <row r="86" spans="1:6" ht="12.75">
      <c r="A86" s="482" t="s">
        <v>379</v>
      </c>
      <c r="B86" s="188">
        <v>12</v>
      </c>
      <c r="C86" s="187"/>
      <c r="D86" s="187"/>
      <c r="F86">
        <v>1</v>
      </c>
    </row>
    <row r="87" spans="1:6" ht="12.75">
      <c r="A87" s="482" t="s">
        <v>215</v>
      </c>
      <c r="B87" s="187">
        <v>12</v>
      </c>
      <c r="C87" s="187"/>
      <c r="D87" s="187"/>
      <c r="F87">
        <v>1</v>
      </c>
    </row>
    <row r="88" spans="1:6" ht="12.75">
      <c r="A88" s="482" t="s">
        <v>547</v>
      </c>
      <c r="B88" s="187">
        <v>24</v>
      </c>
      <c r="C88" s="187"/>
      <c r="D88" s="187"/>
      <c r="F88">
        <v>1</v>
      </c>
    </row>
    <row r="89" spans="1:6" ht="12.75">
      <c r="A89" s="482" t="s">
        <v>326</v>
      </c>
      <c r="B89" s="261">
        <v>24</v>
      </c>
      <c r="C89" s="187"/>
      <c r="D89" s="187"/>
      <c r="F89">
        <v>1</v>
      </c>
    </row>
    <row r="90" spans="1:6" ht="12.75">
      <c r="A90" s="482" t="s">
        <v>327</v>
      </c>
      <c r="B90" s="187">
        <v>12</v>
      </c>
      <c r="C90" s="187"/>
      <c r="D90" s="187"/>
      <c r="F90">
        <v>1</v>
      </c>
    </row>
    <row r="91" spans="1:6" ht="12.75">
      <c r="A91" s="482" t="s">
        <v>13</v>
      </c>
      <c r="B91" s="187">
        <v>12</v>
      </c>
      <c r="C91" s="188"/>
      <c r="D91" s="189"/>
      <c r="F91">
        <v>1</v>
      </c>
    </row>
    <row r="92" spans="1:6" ht="12.75">
      <c r="A92" s="482" t="s">
        <v>351</v>
      </c>
      <c r="B92" s="187">
        <v>12</v>
      </c>
      <c r="C92" s="187"/>
      <c r="D92" s="187"/>
      <c r="F92">
        <v>1</v>
      </c>
    </row>
    <row r="93" spans="1:6" ht="12.75">
      <c r="A93" s="482" t="s">
        <v>259</v>
      </c>
      <c r="B93" s="187">
        <v>12</v>
      </c>
      <c r="C93" s="187"/>
      <c r="D93" s="187"/>
      <c r="F93">
        <v>1</v>
      </c>
    </row>
    <row r="94" spans="1:6" ht="12.75">
      <c r="A94" s="482" t="s">
        <v>498</v>
      </c>
      <c r="B94" s="187">
        <v>12</v>
      </c>
      <c r="C94" s="187"/>
      <c r="D94" s="187"/>
      <c r="F94">
        <v>1</v>
      </c>
    </row>
    <row r="95" spans="1:6" ht="12.75">
      <c r="A95" s="482" t="s">
        <v>16</v>
      </c>
      <c r="B95" s="187">
        <v>24</v>
      </c>
      <c r="C95" s="187"/>
      <c r="D95" s="187"/>
      <c r="F95">
        <v>1</v>
      </c>
    </row>
    <row r="96" spans="1:6" ht="12.75">
      <c r="A96" s="482" t="s">
        <v>453</v>
      </c>
      <c r="B96" s="187">
        <v>12</v>
      </c>
      <c r="C96" s="187"/>
      <c r="D96" s="187"/>
      <c r="F96">
        <v>1</v>
      </c>
    </row>
    <row r="97" spans="1:6" ht="12.75">
      <c r="A97" s="482" t="s">
        <v>518</v>
      </c>
      <c r="B97" s="187">
        <v>12</v>
      </c>
      <c r="C97" s="187"/>
      <c r="D97" s="187"/>
      <c r="F97">
        <v>1</v>
      </c>
    </row>
    <row r="98" spans="1:6" ht="12.75">
      <c r="A98" s="482" t="s">
        <v>455</v>
      </c>
      <c r="B98" s="187">
        <v>12</v>
      </c>
      <c r="C98" s="187"/>
      <c r="D98" s="187"/>
      <c r="F98">
        <v>1</v>
      </c>
    </row>
    <row r="99" spans="1:6" ht="12.75">
      <c r="A99" s="482" t="s">
        <v>214</v>
      </c>
      <c r="B99" s="187">
        <v>12</v>
      </c>
      <c r="C99" s="187"/>
      <c r="D99" s="187"/>
      <c r="F99">
        <v>1</v>
      </c>
    </row>
    <row r="100" spans="1:14" ht="12.75">
      <c r="A100" s="483" t="s">
        <v>258</v>
      </c>
      <c r="B100" s="188">
        <v>12</v>
      </c>
      <c r="C100" s="187"/>
      <c r="D100" s="187"/>
      <c r="E100" s="168"/>
      <c r="F100">
        <v>1</v>
      </c>
      <c r="G100" s="168"/>
      <c r="H100" s="168"/>
      <c r="I100" s="168"/>
      <c r="J100" s="168"/>
      <c r="K100" s="168"/>
      <c r="L100" s="168"/>
      <c r="M100" s="168"/>
      <c r="N100" s="168"/>
    </row>
    <row r="101" spans="1:6" ht="12.75">
      <c r="A101" s="484" t="s">
        <v>17</v>
      </c>
      <c r="B101" s="188">
        <v>12</v>
      </c>
      <c r="C101" s="188"/>
      <c r="D101" s="189"/>
      <c r="F101">
        <v>1</v>
      </c>
    </row>
    <row r="102" spans="1:6" ht="12.75">
      <c r="A102" s="482" t="s">
        <v>500</v>
      </c>
      <c r="B102" s="187">
        <v>12</v>
      </c>
      <c r="C102" s="188"/>
      <c r="D102" s="189"/>
      <c r="F102">
        <v>1</v>
      </c>
    </row>
    <row r="103" spans="1:6" ht="12.75">
      <c r="A103" s="482" t="s">
        <v>340</v>
      </c>
      <c r="B103" s="187">
        <v>12</v>
      </c>
      <c r="C103" s="190"/>
      <c r="D103" s="190"/>
      <c r="F103">
        <v>1</v>
      </c>
    </row>
    <row r="104" spans="1:6" ht="12.75">
      <c r="A104" s="482" t="s">
        <v>454</v>
      </c>
      <c r="B104" s="187">
        <v>12</v>
      </c>
      <c r="C104" s="190"/>
      <c r="D104" s="190"/>
      <c r="F104">
        <v>1</v>
      </c>
    </row>
    <row r="105" spans="1:6" ht="12.75">
      <c r="A105" s="482" t="s">
        <v>474</v>
      </c>
      <c r="B105" s="187">
        <v>12</v>
      </c>
      <c r="C105" s="187"/>
      <c r="D105" s="187"/>
      <c r="F105">
        <v>1</v>
      </c>
    </row>
    <row r="106" spans="1:6" ht="12.75">
      <c r="A106" s="482" t="s">
        <v>435</v>
      </c>
      <c r="B106" s="187">
        <v>12</v>
      </c>
      <c r="C106" s="187"/>
      <c r="D106" s="187"/>
      <c r="F106">
        <v>1</v>
      </c>
    </row>
    <row r="107" spans="1:6" ht="12.75">
      <c r="A107" s="482" t="s">
        <v>14</v>
      </c>
      <c r="B107" s="187"/>
      <c r="C107" s="187"/>
      <c r="D107" s="187">
        <v>12</v>
      </c>
      <c r="F107">
        <f>COUNT(F83:F106)</f>
        <v>24</v>
      </c>
    </row>
    <row r="108" spans="1:4" ht="12.75">
      <c r="A108" s="482" t="s">
        <v>15</v>
      </c>
      <c r="B108" s="187"/>
      <c r="C108" s="187"/>
      <c r="D108" s="597">
        <v>12</v>
      </c>
    </row>
    <row r="109" spans="1:4" ht="12.75">
      <c r="A109" s="482" t="s">
        <v>291</v>
      </c>
      <c r="B109" s="187"/>
      <c r="C109" s="187"/>
      <c r="D109" s="187">
        <v>12</v>
      </c>
    </row>
    <row r="110" spans="1:4" ht="12.75">
      <c r="A110" s="482"/>
      <c r="B110" s="187"/>
      <c r="C110" s="187"/>
      <c r="D110" s="187"/>
    </row>
    <row r="111" spans="1:4" ht="12.75">
      <c r="A111" s="191" t="s">
        <v>18</v>
      </c>
      <c r="B111" s="192">
        <f>SUM(unnamed)</f>
        <v>324</v>
      </c>
      <c r="C111" s="192">
        <f>SUM(C83:C106)</f>
        <v>0</v>
      </c>
      <c r="D111" s="192">
        <f>SUM(D83:D110)</f>
        <v>36</v>
      </c>
    </row>
  </sheetData>
  <sheetProtection/>
  <printOptions gridLines="1" headings="1" horizontalCentered="1"/>
  <pageMargins left="0.25" right="0.25" top="0.33" bottom="0.29" header="0.18" footer="0.32"/>
  <pageSetup fitToHeight="1" fitToWidth="1" horizontalDpi="300" verticalDpi="300" orientation="landscape" scale="42" r:id="rId1"/>
  <headerFooter alignWithMargins="0">
    <oddFooter>&amp;R&amp;K000000&amp;F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X11"/>
  <sheetViews>
    <sheetView zoomScale="70" zoomScaleNormal="70" zoomScalePageLayoutView="0" workbookViewId="0" topLeftCell="A58">
      <selection activeCell="F6" sqref="F6"/>
    </sheetView>
  </sheetViews>
  <sheetFormatPr defaultColWidth="9.140625" defaultRowHeight="12.75"/>
  <cols>
    <col min="1" max="1" width="43.140625" style="1" customWidth="1"/>
    <col min="2" max="4" width="9.140625" style="1" customWidth="1"/>
    <col min="5" max="5" width="14.28125" style="1" customWidth="1"/>
    <col min="6" max="10" width="9.140625" style="1" customWidth="1"/>
    <col min="11" max="11" width="28.8515625" style="1" customWidth="1"/>
    <col min="12" max="12" width="15.421875" style="1" customWidth="1"/>
    <col min="13" max="21" width="9.140625" style="1" customWidth="1"/>
    <col min="22" max="22" width="8.140625" style="1" customWidth="1"/>
    <col min="23" max="23" width="26.421875" style="1" customWidth="1"/>
    <col min="24" max="24" width="11.00390625" style="1" customWidth="1"/>
    <col min="25" max="16384" width="9.140625" style="1" customWidth="1"/>
  </cols>
  <sheetData>
    <row r="1" ht="15.75">
      <c r="A1" s="235"/>
    </row>
    <row r="2" ht="13.5" thickBot="1"/>
    <row r="3" spans="1:24" ht="13.5" thickBot="1">
      <c r="A3" s="238" t="s">
        <v>475</v>
      </c>
      <c r="B3" s="239"/>
      <c r="W3" s="245" t="s">
        <v>396</v>
      </c>
      <c r="X3" s="246" t="s">
        <v>9</v>
      </c>
    </row>
    <row r="4" spans="1:24" ht="12.75">
      <c r="A4" s="236" t="str">
        <f>Operating!A2</f>
        <v>Common House Operation</v>
      </c>
      <c r="B4" s="595">
        <f>Operating!V11</f>
        <v>6018</v>
      </c>
      <c r="K4" s="238" t="s">
        <v>438</v>
      </c>
      <c r="L4" s="239"/>
      <c r="W4" s="243" t="s">
        <v>21</v>
      </c>
      <c r="X4" s="247">
        <f>Fees!C4</f>
        <v>92</v>
      </c>
    </row>
    <row r="5" spans="1:24" ht="12.75">
      <c r="A5" s="236" t="str">
        <f>Operating!A12</f>
        <v>Maintenance</v>
      </c>
      <c r="B5" s="595">
        <f>Operating!V20</f>
        <v>12088</v>
      </c>
      <c r="K5" s="236" t="str">
        <f>Fees!C74</f>
        <v>Operating Budget</v>
      </c>
      <c r="L5" s="595">
        <f>Fees!C78</f>
        <v>30168</v>
      </c>
      <c r="W5" s="243" t="s">
        <v>89</v>
      </c>
      <c r="X5" s="247">
        <f>Fees!D4</f>
        <v>32</v>
      </c>
    </row>
    <row r="6" spans="1:24" ht="12.75">
      <c r="A6" s="236" t="str">
        <f>Operating!A21</f>
        <v>Administration</v>
      </c>
      <c r="B6" s="595">
        <f>Operating!V28</f>
        <v>13000</v>
      </c>
      <c r="K6" s="236" t="str">
        <f>Fees!D74</f>
        <v>Septic Reserve</v>
      </c>
      <c r="L6" s="595">
        <f>Fees!D78</f>
        <v>10368</v>
      </c>
      <c r="W6" s="243" t="s">
        <v>139</v>
      </c>
      <c r="X6" s="247">
        <f>Fees!E4</f>
        <v>8</v>
      </c>
    </row>
    <row r="7" spans="1:24" ht="12.75">
      <c r="A7" s="236" t="str">
        <f>Operating!A29</f>
        <v>Membership, Communication</v>
      </c>
      <c r="B7" s="595">
        <f>Operating!V34</f>
        <v>450</v>
      </c>
      <c r="K7" s="236" t="str">
        <f>Fees!E74</f>
        <v>CH Reserve</v>
      </c>
      <c r="L7" s="595">
        <f>Fees!E78</f>
        <v>2592</v>
      </c>
      <c r="W7" s="243" t="s">
        <v>88</v>
      </c>
      <c r="X7" s="247">
        <f>Fees!F4</f>
        <v>6</v>
      </c>
    </row>
    <row r="8" spans="1:24" ht="13.5" thickBot="1">
      <c r="A8" s="236" t="str">
        <f>Operating!A35</f>
        <v>Common Land</v>
      </c>
      <c r="B8" s="595">
        <f>Operating!V38</f>
        <v>650</v>
      </c>
      <c r="K8" s="236" t="str">
        <f>Fees!F74</f>
        <v>Road Reserve</v>
      </c>
      <c r="L8" s="595">
        <f>Fees!F78</f>
        <v>1944</v>
      </c>
      <c r="W8" s="244" t="s">
        <v>80</v>
      </c>
      <c r="X8" s="248">
        <f>Fees!G4</f>
        <v>13</v>
      </c>
    </row>
    <row r="9" spans="1:24" ht="13.5" thickBot="1">
      <c r="A9" s="237" t="str">
        <f>Operating!A39</f>
        <v>General/Other</v>
      </c>
      <c r="B9" s="596">
        <f>Operating!V43</f>
        <v>200</v>
      </c>
      <c r="K9" s="237" t="str">
        <f>Fees!G74</f>
        <v>Equipment Reserve</v>
      </c>
      <c r="L9" s="596">
        <f>Fees!G78</f>
        <v>4212</v>
      </c>
      <c r="W9" s="83" t="s">
        <v>335</v>
      </c>
      <c r="X9" s="249">
        <f>SUM(X4:X8)</f>
        <v>151</v>
      </c>
    </row>
    <row r="11" spans="11:15" ht="12.75">
      <c r="K11" s="93"/>
      <c r="L11" s="93"/>
      <c r="M11" s="93"/>
      <c r="N11" s="93"/>
      <c r="O11" s="93"/>
    </row>
  </sheetData>
  <sheetProtection/>
  <printOptions/>
  <pageMargins left="0.75" right="0.75" top="1" bottom="1" header="0.5" footer="0.5"/>
  <pageSetup horizontalDpi="1200" verticalDpi="12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55"/>
  <sheetViews>
    <sheetView zoomScale="85" zoomScaleNormal="85" zoomScalePageLayoutView="0" workbookViewId="0" topLeftCell="A1">
      <pane xSplit="2" ySplit="1" topLeftCell="C2" activePane="bottomRight" state="frozen"/>
      <selection pane="topLeft" activeCell="E36" sqref="E36"/>
      <selection pane="topRight" activeCell="E36" sqref="E36"/>
      <selection pane="bottomLeft" activeCell="E36" sqref="E36"/>
      <selection pane="bottomRight" activeCell="F39" sqref="F39"/>
    </sheetView>
  </sheetViews>
  <sheetFormatPr defaultColWidth="9.140625" defaultRowHeight="12.75"/>
  <cols>
    <col min="1" max="1" width="56.00390625" style="5" customWidth="1"/>
    <col min="2" max="2" width="5.8515625" style="5" hidden="1" customWidth="1"/>
    <col min="3" max="3" width="15.421875" style="5" customWidth="1"/>
    <col min="4" max="6" width="11.28125" style="5" customWidth="1"/>
    <col min="7" max="7" width="14.00390625" style="5" customWidth="1"/>
    <col min="8" max="8" width="14.7109375" style="5" customWidth="1"/>
    <col min="9" max="9" width="15.421875" style="5" customWidth="1"/>
    <col min="10" max="10" width="11.28125" style="5" customWidth="1"/>
    <col min="11" max="12" width="9.140625" style="5" customWidth="1"/>
    <col min="13" max="13" width="9.421875" style="5" bestFit="1" customWidth="1"/>
    <col min="14" max="16384" width="9.140625" style="5" customWidth="1"/>
  </cols>
  <sheetData>
    <row r="1" spans="1:10" ht="34.5" customHeight="1" thickBot="1">
      <c r="A1" s="169" t="s">
        <v>519</v>
      </c>
      <c r="B1" s="127"/>
      <c r="C1" s="170" t="s">
        <v>323</v>
      </c>
      <c r="D1" s="170" t="s">
        <v>322</v>
      </c>
      <c r="E1" s="170" t="s">
        <v>321</v>
      </c>
      <c r="F1" s="170" t="s">
        <v>320</v>
      </c>
      <c r="G1" s="170" t="s">
        <v>342</v>
      </c>
      <c r="H1" s="170" t="s">
        <v>318</v>
      </c>
      <c r="I1" s="171" t="s">
        <v>319</v>
      </c>
      <c r="J1" s="222" t="s">
        <v>202</v>
      </c>
    </row>
    <row r="2" spans="1:10" ht="18" customHeight="1" thickBot="1">
      <c r="A2" s="228"/>
      <c r="B2" s="31"/>
      <c r="C2" s="31"/>
      <c r="D2" s="31"/>
      <c r="E2" s="31"/>
      <c r="F2" s="31"/>
      <c r="G2" s="31"/>
      <c r="H2" s="31"/>
      <c r="I2" s="31"/>
      <c r="J2" s="225"/>
    </row>
    <row r="3" spans="1:10" s="136" customFormat="1" ht="32.25" customHeight="1" thickBot="1">
      <c r="A3" s="439" t="s">
        <v>520</v>
      </c>
      <c r="B3" s="359"/>
      <c r="C3" s="602">
        <v>0</v>
      </c>
      <c r="D3" s="602">
        <f>Septic!K52</f>
        <v>164648.82289999997</v>
      </c>
      <c r="E3" s="602">
        <f>Roads!F27</f>
        <v>24172.514900000002</v>
      </c>
      <c r="F3" s="602">
        <f>'CH'!F68</f>
        <v>53283.55660000001</v>
      </c>
      <c r="G3" s="602">
        <f>Equipment!H52</f>
        <v>32366.6408</v>
      </c>
      <c r="H3" s="602">
        <f>Contingency!D22</f>
        <v>10280.28</v>
      </c>
      <c r="I3" s="603">
        <f>Improvements!D28</f>
        <v>4559.489999999998</v>
      </c>
      <c r="J3" s="537">
        <f>SUM(C3:I3)</f>
        <v>289311.3052</v>
      </c>
    </row>
    <row r="4" spans="1:10" ht="16.5" customHeight="1" thickBot="1">
      <c r="A4" s="223" t="s">
        <v>466</v>
      </c>
      <c r="B4" s="224"/>
      <c r="C4" s="547"/>
      <c r="D4" s="547"/>
      <c r="E4" s="547"/>
      <c r="F4" s="547"/>
      <c r="G4" s="547"/>
      <c r="H4" s="547"/>
      <c r="I4" s="547"/>
      <c r="J4" s="548"/>
    </row>
    <row r="5" spans="1:10" ht="13.5" thickBot="1">
      <c r="A5" s="109" t="s">
        <v>23</v>
      </c>
      <c r="B5" s="128"/>
      <c r="C5" s="539">
        <f>Operating!V11</f>
        <v>6018</v>
      </c>
      <c r="D5" s="539">
        <v>0</v>
      </c>
      <c r="E5" s="539">
        <v>0</v>
      </c>
      <c r="F5" s="539">
        <v>0</v>
      </c>
      <c r="G5" s="539">
        <v>0</v>
      </c>
      <c r="H5" s="539">
        <v>0</v>
      </c>
      <c r="I5" s="540">
        <v>0</v>
      </c>
      <c r="J5" s="538">
        <f aca="true" t="shared" si="0" ref="J5:J11">SUM(C5:I5)</f>
        <v>6018</v>
      </c>
    </row>
    <row r="6" spans="1:10" ht="13.5" customHeight="1">
      <c r="A6" s="130" t="s">
        <v>1</v>
      </c>
      <c r="B6" s="128"/>
      <c r="C6" s="539">
        <f>Operating!V20</f>
        <v>12088</v>
      </c>
      <c r="D6" s="539">
        <v>0</v>
      </c>
      <c r="E6" s="539">
        <v>2750</v>
      </c>
      <c r="F6" s="539">
        <v>0</v>
      </c>
      <c r="G6" s="539">
        <f>Equipment!I32</f>
        <v>2000</v>
      </c>
      <c r="H6" s="539">
        <v>0</v>
      </c>
      <c r="I6" s="540">
        <v>0</v>
      </c>
      <c r="J6" s="538">
        <f t="shared" si="0"/>
        <v>16838</v>
      </c>
    </row>
    <row r="7" spans="1:10" ht="13.5" thickBot="1">
      <c r="A7" s="135" t="s">
        <v>4</v>
      </c>
      <c r="B7" s="129"/>
      <c r="C7" s="539">
        <f>Operating!V28</f>
        <v>13000</v>
      </c>
      <c r="D7" s="539">
        <v>0</v>
      </c>
      <c r="E7" s="539">
        <v>0</v>
      </c>
      <c r="F7" s="539">
        <v>0</v>
      </c>
      <c r="G7" s="539">
        <v>0</v>
      </c>
      <c r="H7" s="539">
        <v>0</v>
      </c>
      <c r="I7" s="540">
        <v>0</v>
      </c>
      <c r="J7" s="538">
        <f t="shared" si="0"/>
        <v>13000</v>
      </c>
    </row>
    <row r="8" spans="1:10" ht="13.5" thickBot="1">
      <c r="A8" s="109" t="s">
        <v>241</v>
      </c>
      <c r="B8" s="128"/>
      <c r="C8" s="539">
        <f>Operating!V34</f>
        <v>450</v>
      </c>
      <c r="D8" s="539">
        <v>0</v>
      </c>
      <c r="E8" s="539">
        <v>0</v>
      </c>
      <c r="F8" s="539">
        <v>0</v>
      </c>
      <c r="G8" s="539">
        <v>0</v>
      </c>
      <c r="H8" s="539">
        <v>0</v>
      </c>
      <c r="I8" s="540">
        <v>0</v>
      </c>
      <c r="J8" s="538">
        <f t="shared" si="0"/>
        <v>450</v>
      </c>
    </row>
    <row r="9" spans="1:10" ht="13.5" thickBot="1">
      <c r="A9" s="147" t="s">
        <v>268</v>
      </c>
      <c r="B9" s="128"/>
      <c r="C9" s="539">
        <f>Operating!V38</f>
        <v>650</v>
      </c>
      <c r="D9" s="539">
        <v>0</v>
      </c>
      <c r="E9" s="539">
        <v>0</v>
      </c>
      <c r="F9" s="539">
        <v>0</v>
      </c>
      <c r="G9" s="539">
        <v>0</v>
      </c>
      <c r="H9" s="539">
        <v>0</v>
      </c>
      <c r="I9" s="540">
        <v>0</v>
      </c>
      <c r="J9" s="538">
        <f t="shared" si="0"/>
        <v>650</v>
      </c>
    </row>
    <row r="10" spans="1:10" ht="13.5" thickBot="1">
      <c r="A10" s="130" t="s">
        <v>155</v>
      </c>
      <c r="B10" s="128"/>
      <c r="C10" s="539">
        <f>Operating!V43</f>
        <v>200</v>
      </c>
      <c r="D10" s="539">
        <v>0</v>
      </c>
      <c r="E10" s="539">
        <v>0</v>
      </c>
      <c r="F10" s="539">
        <v>0</v>
      </c>
      <c r="G10" s="539">
        <v>0</v>
      </c>
      <c r="H10" s="539">
        <v>0</v>
      </c>
      <c r="I10" s="540">
        <v>0</v>
      </c>
      <c r="J10" s="538">
        <f t="shared" si="0"/>
        <v>200</v>
      </c>
    </row>
    <row r="11" spans="1:10" ht="13.5" thickBot="1">
      <c r="A11" s="133" t="s">
        <v>213</v>
      </c>
      <c r="B11" s="134"/>
      <c r="C11" s="549">
        <f>SUM(C5:C10)</f>
        <v>32406</v>
      </c>
      <c r="D11" s="549">
        <f aca="true" t="shared" si="1" ref="D11:I11">SUM(D6:D10)</f>
        <v>0</v>
      </c>
      <c r="E11" s="549">
        <f>SUM(E6:E10)</f>
        <v>2750</v>
      </c>
      <c r="F11" s="549">
        <f t="shared" si="1"/>
        <v>0</v>
      </c>
      <c r="G11" s="549">
        <f t="shared" si="1"/>
        <v>2000</v>
      </c>
      <c r="H11" s="549">
        <f t="shared" si="1"/>
        <v>0</v>
      </c>
      <c r="I11" s="549">
        <f t="shared" si="1"/>
        <v>0</v>
      </c>
      <c r="J11" s="541">
        <f t="shared" si="0"/>
        <v>37156</v>
      </c>
    </row>
    <row r="12" spans="1:10" ht="18.75" customHeight="1">
      <c r="A12" s="226" t="s">
        <v>221</v>
      </c>
      <c r="B12" s="227"/>
      <c r="C12" s="547"/>
      <c r="D12" s="547"/>
      <c r="E12" s="547"/>
      <c r="F12" s="547"/>
      <c r="G12" s="547"/>
      <c r="H12" s="547"/>
      <c r="I12" s="547"/>
      <c r="J12" s="548"/>
    </row>
    <row r="13" spans="1:10" ht="14.25" customHeight="1">
      <c r="A13" s="354" t="s">
        <v>223</v>
      </c>
      <c r="B13" s="355"/>
      <c r="C13" s="358" t="str">
        <f>"** "&amp;(Fees!C4)&amp;" **"</f>
        <v>** 92 **</v>
      </c>
      <c r="D13" s="358" t="str">
        <f>"** "&amp;(Fees!D4)&amp;" **"</f>
        <v>** 32 **</v>
      </c>
      <c r="E13" s="358" t="str">
        <f>"** "&amp;Fees!F4&amp;" **"</f>
        <v>** 6 **</v>
      </c>
      <c r="F13" s="358" t="str">
        <f>"** "&amp;(Fees!E4)&amp;" **"</f>
        <v>** 8 **</v>
      </c>
      <c r="G13" s="358" t="str">
        <f>"** "&amp;(Fees!G4)&amp;" **"</f>
        <v>** 13 **</v>
      </c>
      <c r="H13" s="356">
        <v>0</v>
      </c>
      <c r="I13" s="357">
        <v>0</v>
      </c>
      <c r="J13" s="550" t="str">
        <f>"** "&amp;(Fees!H4)&amp;" **"</f>
        <v>** 151 **</v>
      </c>
    </row>
    <row r="14" spans="1:10" ht="13.5" customHeight="1">
      <c r="A14" s="132" t="s">
        <v>219</v>
      </c>
      <c r="B14" s="125"/>
      <c r="C14" s="551">
        <f>Fees!C75</f>
        <v>29808</v>
      </c>
      <c r="D14" s="551">
        <f>Fees!D75</f>
        <v>10368</v>
      </c>
      <c r="E14" s="551">
        <f>Fees!F75</f>
        <v>1944</v>
      </c>
      <c r="F14" s="551">
        <f>Fees!E75</f>
        <v>2592</v>
      </c>
      <c r="G14" s="551">
        <f>Fees!G75</f>
        <v>4212</v>
      </c>
      <c r="H14" s="539">
        <v>0</v>
      </c>
      <c r="I14" s="540">
        <v>0</v>
      </c>
      <c r="J14" s="538">
        <f>SUM(C14:I14)</f>
        <v>48924</v>
      </c>
    </row>
    <row r="15" spans="1:10" ht="13.5" customHeight="1">
      <c r="A15" s="555" t="s">
        <v>233</v>
      </c>
      <c r="B15" s="471"/>
      <c r="C15" s="119" t="str">
        <f>"** "&amp;(Fees!C5)&amp;" **"</f>
        <v>** 0 **</v>
      </c>
      <c r="D15" s="119" t="str">
        <f>"** "&amp;(Fees!D5)&amp;" **"</f>
        <v>** 0 **</v>
      </c>
      <c r="E15" s="119" t="str">
        <f>"** "&amp;Fees!F5&amp;" **"</f>
        <v>** 0 **</v>
      </c>
      <c r="F15" s="119" t="str">
        <f>"** "&amp;(Fees!E5)&amp;" **"</f>
        <v>** 0 **</v>
      </c>
      <c r="G15" s="119" t="str">
        <f>"** "&amp;(Fees!G5)&amp;" **"</f>
        <v>** 0 **</v>
      </c>
      <c r="H15" s="119">
        <v>0</v>
      </c>
      <c r="I15" s="172">
        <v>0</v>
      </c>
      <c r="J15" s="221" t="str">
        <f>"** "&amp;(Fees!H5)&amp;" **"</f>
        <v>** 0 **</v>
      </c>
    </row>
    <row r="16" spans="1:10" ht="13.5" customHeight="1">
      <c r="A16" s="132" t="s">
        <v>220</v>
      </c>
      <c r="B16" s="126"/>
      <c r="C16" s="552">
        <f>Fees!C76</f>
        <v>0</v>
      </c>
      <c r="D16" s="552">
        <f>Fees!D76</f>
        <v>0</v>
      </c>
      <c r="E16" s="552">
        <f>Fees!F76</f>
        <v>0</v>
      </c>
      <c r="F16" s="552">
        <f>Fees!E76</f>
        <v>0</v>
      </c>
      <c r="G16" s="119">
        <v>0</v>
      </c>
      <c r="H16" s="119">
        <v>0</v>
      </c>
      <c r="I16" s="172">
        <v>0</v>
      </c>
      <c r="J16" s="221">
        <f>SUM(C16:I16)</f>
        <v>0</v>
      </c>
    </row>
    <row r="17" spans="1:10" ht="13.5" thickBot="1">
      <c r="A17" s="132" t="s">
        <v>222</v>
      </c>
      <c r="B17" s="115"/>
      <c r="C17" s="551">
        <f>Operating!N55-(C14+C16)</f>
        <v>592</v>
      </c>
      <c r="D17" s="539">
        <v>0</v>
      </c>
      <c r="E17" s="539">
        <v>0</v>
      </c>
      <c r="F17" s="539">
        <v>0</v>
      </c>
      <c r="G17" s="539">
        <v>0</v>
      </c>
      <c r="H17" s="539">
        <v>0</v>
      </c>
      <c r="I17" s="540">
        <v>0</v>
      </c>
      <c r="J17" s="538">
        <f>SUM(C17:I17)</f>
        <v>592</v>
      </c>
    </row>
    <row r="18" spans="1:10" ht="13.5" customHeight="1" thickBot="1">
      <c r="A18" s="131" t="s">
        <v>8</v>
      </c>
      <c r="B18" s="124"/>
      <c r="C18" s="553">
        <f>SUM(C14:C17)</f>
        <v>30400</v>
      </c>
      <c r="D18" s="553">
        <f aca="true" t="shared" si="2" ref="D18:I18">SUM(D14:D17)</f>
        <v>10368</v>
      </c>
      <c r="E18" s="553">
        <f>SUM(E14:E17)</f>
        <v>1944</v>
      </c>
      <c r="F18" s="553">
        <f t="shared" si="2"/>
        <v>2592</v>
      </c>
      <c r="G18" s="553">
        <f t="shared" si="2"/>
        <v>4212</v>
      </c>
      <c r="H18" s="553">
        <f t="shared" si="2"/>
        <v>0</v>
      </c>
      <c r="I18" s="553">
        <f t="shared" si="2"/>
        <v>0</v>
      </c>
      <c r="J18" s="541">
        <f>SUM(C18:I18)</f>
        <v>49516</v>
      </c>
    </row>
    <row r="19" spans="1:10" ht="12" customHeight="1" thickBot="1">
      <c r="A19" s="228"/>
      <c r="B19" s="31"/>
      <c r="C19" s="554"/>
      <c r="D19" s="554"/>
      <c r="E19" s="554"/>
      <c r="F19" s="554"/>
      <c r="G19" s="554"/>
      <c r="H19" s="554"/>
      <c r="I19" s="554"/>
      <c r="J19" s="545"/>
    </row>
    <row r="20" spans="1:10" ht="13.5" customHeight="1">
      <c r="A20" s="229" t="s">
        <v>352</v>
      </c>
      <c r="B20" s="230"/>
      <c r="C20" s="604">
        <v>0</v>
      </c>
      <c r="D20" s="604">
        <f>Septic!J51</f>
        <v>1412.87</v>
      </c>
      <c r="E20" s="604">
        <f>Roads!E26</f>
        <v>213.71</v>
      </c>
      <c r="F20" s="604">
        <f>'CH'!E67</f>
        <v>461.93</v>
      </c>
      <c r="G20" s="604">
        <f>Equipment!G51</f>
        <v>322.19</v>
      </c>
      <c r="H20" s="604">
        <v>0</v>
      </c>
      <c r="I20" s="605">
        <v>0</v>
      </c>
      <c r="J20" s="542">
        <f>SUM(C20:I20)</f>
        <v>2410.7</v>
      </c>
    </row>
    <row r="21" spans="1:10" ht="13.5" customHeight="1" thickBot="1">
      <c r="A21" s="231" t="s">
        <v>331</v>
      </c>
      <c r="B21" s="232"/>
      <c r="C21" s="606">
        <f aca="true" t="shared" si="3" ref="C21:I21">C18+C20-C11</f>
        <v>-2006</v>
      </c>
      <c r="D21" s="606">
        <f t="shared" si="3"/>
        <v>11780.869999999999</v>
      </c>
      <c r="E21" s="606">
        <f t="shared" si="3"/>
        <v>-592.29</v>
      </c>
      <c r="F21" s="606">
        <f t="shared" si="3"/>
        <v>3053.93</v>
      </c>
      <c r="G21" s="606">
        <f t="shared" si="3"/>
        <v>2534.1899999999996</v>
      </c>
      <c r="H21" s="606">
        <f t="shared" si="3"/>
        <v>0</v>
      </c>
      <c r="I21" s="607">
        <f t="shared" si="3"/>
        <v>0</v>
      </c>
      <c r="J21" s="543">
        <f>SUM(C21:I21)</f>
        <v>14770.699999999997</v>
      </c>
    </row>
    <row r="22" spans="1:13" ht="13.5" customHeight="1" thickBot="1">
      <c r="A22" s="233"/>
      <c r="B22" s="224"/>
      <c r="C22" s="544"/>
      <c r="D22" s="544"/>
      <c r="E22" s="544"/>
      <c r="F22" s="544"/>
      <c r="G22" s="544"/>
      <c r="H22" s="544"/>
      <c r="I22" s="544"/>
      <c r="J22" s="545"/>
      <c r="M22" s="66"/>
    </row>
    <row r="23" spans="1:10" ht="16.5" customHeight="1" thickBot="1">
      <c r="A23" s="241" t="s">
        <v>439</v>
      </c>
      <c r="B23" s="242"/>
      <c r="C23" s="546">
        <f aca="true" t="shared" si="4" ref="C23:I23">C3+C21</f>
        <v>-2006</v>
      </c>
      <c r="D23" s="546">
        <f t="shared" si="4"/>
        <v>176429.69289999997</v>
      </c>
      <c r="E23" s="546">
        <f t="shared" si="4"/>
        <v>23580.2249</v>
      </c>
      <c r="F23" s="546">
        <f t="shared" si="4"/>
        <v>56337.48660000001</v>
      </c>
      <c r="G23" s="546">
        <f t="shared" si="4"/>
        <v>34900.8308</v>
      </c>
      <c r="H23" s="546">
        <f t="shared" si="4"/>
        <v>10280.28</v>
      </c>
      <c r="I23" s="546">
        <f t="shared" si="4"/>
        <v>4559.489999999998</v>
      </c>
      <c r="J23" s="537">
        <f>SUM(C23:I23)</f>
        <v>304082.0052</v>
      </c>
    </row>
    <row r="25" ht="12.75">
      <c r="A25" s="114"/>
    </row>
    <row r="26" ht="12.75">
      <c r="A26" s="234" t="s">
        <v>332</v>
      </c>
    </row>
    <row r="27" spans="1:10" ht="12.75">
      <c r="A27" s="559" t="s">
        <v>540</v>
      </c>
      <c r="B27" s="556"/>
      <c r="C27" s="151"/>
      <c r="D27" s="151"/>
      <c r="E27" s="151"/>
      <c r="F27" s="151"/>
      <c r="G27" s="151"/>
      <c r="H27" s="151"/>
      <c r="I27" s="151"/>
      <c r="J27" s="151"/>
    </row>
    <row r="28" spans="1:10" ht="12.75">
      <c r="A28" s="151" t="s">
        <v>440</v>
      </c>
      <c r="B28" s="556"/>
      <c r="C28" s="151"/>
      <c r="D28" s="151"/>
      <c r="E28" s="151"/>
      <c r="F28" s="151"/>
      <c r="G28" s="151"/>
      <c r="H28" s="151"/>
      <c r="I28" s="151"/>
      <c r="J28" s="151"/>
    </row>
    <row r="29" spans="1:10" ht="12.75">
      <c r="A29" s="151" t="s">
        <v>296</v>
      </c>
      <c r="B29" s="556"/>
      <c r="C29" s="151"/>
      <c r="D29" s="151"/>
      <c r="E29" s="151"/>
      <c r="F29" s="151"/>
      <c r="G29" s="151"/>
      <c r="H29" s="151"/>
      <c r="I29" s="151"/>
      <c r="J29" s="151"/>
    </row>
    <row r="30" spans="1:10" ht="12.75">
      <c r="A30" s="151" t="s">
        <v>297</v>
      </c>
      <c r="B30" s="556"/>
      <c r="C30" s="151"/>
      <c r="D30" s="151"/>
      <c r="E30" s="151"/>
      <c r="F30" s="151"/>
      <c r="G30" s="151"/>
      <c r="H30" s="151"/>
      <c r="I30" s="151"/>
      <c r="J30" s="151"/>
    </row>
    <row r="31" spans="1:10" ht="12.75">
      <c r="A31" s="151" t="s">
        <v>299</v>
      </c>
      <c r="B31" s="556"/>
      <c r="C31" s="151"/>
      <c r="D31" s="151"/>
      <c r="E31" s="151"/>
      <c r="F31" s="151"/>
      <c r="G31" s="151"/>
      <c r="H31" s="151"/>
      <c r="I31" s="151"/>
      <c r="J31" s="151"/>
    </row>
    <row r="32" spans="1:10" ht="12.75">
      <c r="A32" s="151"/>
      <c r="B32" s="151"/>
      <c r="C32" s="151"/>
      <c r="D32" s="264"/>
      <c r="E32" s="151"/>
      <c r="F32" s="151"/>
      <c r="G32" s="151"/>
      <c r="H32" s="151"/>
      <c r="I32" s="151"/>
      <c r="J32" s="151"/>
    </row>
    <row r="33" spans="1:6" ht="12.75">
      <c r="A33" s="151"/>
      <c r="C33" s="151"/>
      <c r="D33" s="151"/>
      <c r="E33" s="151"/>
      <c r="F33" s="151"/>
    </row>
    <row r="34" spans="1:8" ht="12.75">
      <c r="A34" s="252" t="s">
        <v>467</v>
      </c>
      <c r="B34" s="151"/>
      <c r="C34" s="151"/>
      <c r="D34" s="151"/>
      <c r="E34" s="151"/>
      <c r="F34" s="151"/>
      <c r="G34" s="151"/>
      <c r="H34" s="151"/>
    </row>
    <row r="35" spans="1:11" ht="12.75">
      <c r="A35" s="151" t="s">
        <v>485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</row>
    <row r="36" spans="1:11" ht="13.5" thickBot="1">
      <c r="A36" s="151"/>
      <c r="B36" s="151"/>
      <c r="C36" s="151"/>
      <c r="D36" s="151"/>
      <c r="E36" s="151"/>
      <c r="F36" s="151"/>
      <c r="G36" s="151"/>
      <c r="H36" s="151"/>
      <c r="I36" s="151"/>
      <c r="J36" s="151"/>
      <c r="K36" s="151"/>
    </row>
    <row r="37" spans="1:3" ht="12.75">
      <c r="A37" s="419" t="s">
        <v>338</v>
      </c>
      <c r="B37" s="420"/>
      <c r="C37" s="421">
        <f>Fees!J4</f>
        <v>0</v>
      </c>
    </row>
    <row r="38" spans="1:3" ht="13.5" thickBot="1">
      <c r="A38" s="422" t="s">
        <v>373</v>
      </c>
      <c r="B38" s="423"/>
      <c r="C38" s="424">
        <f>Fees!J5</f>
        <v>0</v>
      </c>
    </row>
    <row r="39" ht="13.5" thickBot="1"/>
    <row r="40" spans="1:3" ht="12.75">
      <c r="A40" s="419" t="s">
        <v>539</v>
      </c>
      <c r="B40" s="420"/>
      <c r="C40" s="612"/>
    </row>
    <row r="41" spans="1:3" ht="12.75">
      <c r="A41" s="615" t="s">
        <v>486</v>
      </c>
      <c r="B41" s="613"/>
      <c r="C41" s="614">
        <f>Fees!D4-Fees!D9</f>
        <v>0</v>
      </c>
    </row>
    <row r="42" spans="1:3" ht="12.75">
      <c r="A42" s="615" t="s">
        <v>487</v>
      </c>
      <c r="B42" s="613"/>
      <c r="C42" s="614">
        <f>Fees!F4-Fees!F9</f>
        <v>0</v>
      </c>
    </row>
    <row r="43" spans="1:3" ht="12.75">
      <c r="A43" s="615" t="s">
        <v>488</v>
      </c>
      <c r="B43" s="613"/>
      <c r="C43" s="614">
        <f>Fees!E4-Fees!E9</f>
        <v>0</v>
      </c>
    </row>
    <row r="44" spans="1:3" ht="13.5" thickBot="1">
      <c r="A44" s="616" t="s">
        <v>489</v>
      </c>
      <c r="B44" s="423"/>
      <c r="C44" s="424">
        <f>Fees!G4-Fees!G9</f>
        <v>0</v>
      </c>
    </row>
    <row r="45" ht="13.5" thickBot="1"/>
    <row r="46" spans="1:3" ht="13.5" thickBot="1">
      <c r="A46" s="416" t="s">
        <v>391</v>
      </c>
      <c r="B46" s="417"/>
      <c r="C46" s="418">
        <v>27</v>
      </c>
    </row>
    <row r="55" ht="12.75">
      <c r="A55" s="6"/>
    </row>
  </sheetData>
  <sheetProtection/>
  <printOptions headings="1" horizontalCentered="1"/>
  <pageMargins left="0.5" right="0.5" top="0.3" bottom="0.3" header="0" footer="0.17"/>
  <pageSetup horizontalDpi="300" verticalDpi="300" orientation="landscape" scale="83" r:id="rId1"/>
  <headerFooter alignWithMargins="0">
    <oddFooter>&amp;L&amp;D&amp;C2017 HOA Budget - DRAFT&amp;R&amp;P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P1787"/>
  <sheetViews>
    <sheetView tabSelected="1" zoomScale="80" zoomScaleNormal="80" zoomScalePageLayoutView="0" workbookViewId="0" topLeftCell="A1">
      <pane xSplit="1" ySplit="2" topLeftCell="B3" activePane="bottomRight" state="frozen"/>
      <selection pane="topLeft" activeCell="E36" sqref="E36"/>
      <selection pane="topRight" activeCell="E36" sqref="E36"/>
      <selection pane="bottomLeft" activeCell="E36" sqref="E36"/>
      <selection pane="bottomRight" activeCell="V59" sqref="V59"/>
    </sheetView>
  </sheetViews>
  <sheetFormatPr defaultColWidth="9.140625" defaultRowHeight="12.75"/>
  <cols>
    <col min="1" max="1" width="33.421875" style="5" customWidth="1"/>
    <col min="2" max="7" width="9.140625" style="5" hidden="1" customWidth="1"/>
    <col min="8" max="8" width="9.140625" style="105" hidden="1" customWidth="1"/>
    <col min="9" max="9" width="13.140625" style="5" hidden="1" customWidth="1"/>
    <col min="10" max="10" width="9.421875" style="5" hidden="1" customWidth="1"/>
    <col min="11" max="11" width="11.7109375" style="5" hidden="1" customWidth="1"/>
    <col min="12" max="13" width="10.421875" style="5" hidden="1" customWidth="1"/>
    <col min="14" max="14" width="10.8515625" style="5" hidden="1" customWidth="1"/>
    <col min="15" max="15" width="10.421875" style="5" hidden="1" customWidth="1"/>
    <col min="16" max="16" width="10.8515625" style="5" hidden="1" customWidth="1"/>
    <col min="17" max="17" width="13.8515625" style="5" hidden="1" customWidth="1"/>
    <col min="18" max="18" width="13.8515625" style="5" customWidth="1"/>
    <col min="19" max="19" width="15.8515625" style="5" customWidth="1"/>
    <col min="20" max="20" width="15.00390625" style="5" customWidth="1"/>
    <col min="21" max="21" width="16.57421875" style="5" customWidth="1"/>
    <col min="22" max="22" width="12.421875" style="5" customWidth="1"/>
    <col min="23" max="23" width="15.421875" style="5" customWidth="1"/>
    <col min="24" max="24" width="13.8515625" style="73" customWidth="1"/>
    <col min="25" max="25" width="31.7109375" style="73" customWidth="1"/>
    <col min="26" max="26" width="14.421875" style="73" customWidth="1"/>
    <col min="27" max="31" width="9.140625" style="5" customWidth="1"/>
    <col min="32" max="32" width="46.7109375" style="5" customWidth="1"/>
    <col min="33" max="33" width="34.00390625" style="5" customWidth="1"/>
    <col min="34" max="34" width="27.7109375" style="5" customWidth="1"/>
    <col min="35" max="35" width="9.140625" style="5" customWidth="1"/>
    <col min="36" max="36" width="11.28125" style="5" customWidth="1"/>
    <col min="37" max="16384" width="9.140625" style="5" customWidth="1"/>
  </cols>
  <sheetData>
    <row r="1" spans="1:34" ht="45" customHeight="1" thickBot="1">
      <c r="A1" s="271" t="s">
        <v>22</v>
      </c>
      <c r="B1" s="286" t="s">
        <v>232</v>
      </c>
      <c r="C1" s="287" t="s">
        <v>292</v>
      </c>
      <c r="D1" s="332" t="s">
        <v>266</v>
      </c>
      <c r="E1" s="287" t="s">
        <v>308</v>
      </c>
      <c r="F1" s="332" t="s">
        <v>293</v>
      </c>
      <c r="G1" s="287" t="s">
        <v>350</v>
      </c>
      <c r="H1" s="332" t="s">
        <v>325</v>
      </c>
      <c r="I1" s="287" t="s">
        <v>380</v>
      </c>
      <c r="J1" s="332" t="s">
        <v>349</v>
      </c>
      <c r="K1" s="287" t="s">
        <v>382</v>
      </c>
      <c r="L1" s="332" t="s">
        <v>381</v>
      </c>
      <c r="M1" s="287" t="s">
        <v>436</v>
      </c>
      <c r="N1" s="332" t="s">
        <v>437</v>
      </c>
      <c r="O1" s="287" t="s">
        <v>481</v>
      </c>
      <c r="P1" s="332" t="s">
        <v>465</v>
      </c>
      <c r="Q1" s="287" t="s">
        <v>510</v>
      </c>
      <c r="R1" s="332" t="s">
        <v>479</v>
      </c>
      <c r="S1" s="287" t="s">
        <v>533</v>
      </c>
      <c r="T1" s="332" t="s">
        <v>507</v>
      </c>
      <c r="U1" s="287" t="s">
        <v>541</v>
      </c>
      <c r="V1" s="683" t="s">
        <v>526</v>
      </c>
      <c r="W1" s="684" t="s">
        <v>525</v>
      </c>
      <c r="X1" s="577" t="s">
        <v>156</v>
      </c>
      <c r="Y1" s="394" t="s">
        <v>148</v>
      </c>
      <c r="Z1" s="101" t="s">
        <v>159</v>
      </c>
      <c r="AA1" s="716" t="s">
        <v>0</v>
      </c>
      <c r="AB1" s="716"/>
      <c r="AC1" s="716"/>
      <c r="AD1" s="716"/>
      <c r="AE1" s="716"/>
      <c r="AF1" s="716"/>
      <c r="AG1" s="716"/>
      <c r="AH1" s="101" t="s">
        <v>144</v>
      </c>
    </row>
    <row r="2" spans="1:34" ht="12.75">
      <c r="A2" s="195" t="s">
        <v>23</v>
      </c>
      <c r="B2" s="288"/>
      <c r="C2" s="289"/>
      <c r="D2" s="288"/>
      <c r="E2" s="289"/>
      <c r="F2" s="288"/>
      <c r="G2" s="289"/>
      <c r="H2" s="288"/>
      <c r="I2" s="289"/>
      <c r="J2" s="288"/>
      <c r="K2" s="289"/>
      <c r="L2" s="288"/>
      <c r="M2" s="289"/>
      <c r="N2" s="288"/>
      <c r="O2" s="289"/>
      <c r="P2" s="288"/>
      <c r="Q2" s="289"/>
      <c r="R2" s="214"/>
      <c r="S2" s="214"/>
      <c r="T2" s="288"/>
      <c r="U2" s="214"/>
      <c r="V2" s="288"/>
      <c r="W2" s="289"/>
      <c r="X2" s="289"/>
      <c r="Y2" s="214"/>
      <c r="Z2" s="214"/>
      <c r="AA2" s="214"/>
      <c r="AB2" s="214"/>
      <c r="AC2" s="214"/>
      <c r="AD2" s="214"/>
      <c r="AE2" s="214"/>
      <c r="AF2" s="214"/>
      <c r="AG2" s="214"/>
      <c r="AH2" s="162"/>
    </row>
    <row r="3" spans="1:34" ht="44.25" customHeight="1">
      <c r="A3" s="272" t="s">
        <v>24</v>
      </c>
      <c r="B3" s="290">
        <v>2600</v>
      </c>
      <c r="C3" s="291">
        <v>3152</v>
      </c>
      <c r="D3" s="333">
        <v>3300</v>
      </c>
      <c r="E3" s="292">
        <v>3169</v>
      </c>
      <c r="F3" s="290">
        <v>2600</v>
      </c>
      <c r="G3" s="292">
        <v>3049</v>
      </c>
      <c r="H3" s="334">
        <f>(4*209)+(8*209)</f>
        <v>2508</v>
      </c>
      <c r="I3" s="343">
        <v>2972</v>
      </c>
      <c r="J3" s="334">
        <f>(5*356)+(5*375)</f>
        <v>3655</v>
      </c>
      <c r="K3" s="440">
        <v>3392</v>
      </c>
      <c r="L3" s="334">
        <f>(4*328)+(6*350)</f>
        <v>3412</v>
      </c>
      <c r="M3" s="440">
        <v>1571.67</v>
      </c>
      <c r="N3" s="334">
        <v>3623</v>
      </c>
      <c r="O3" s="440">
        <v>3756.55</v>
      </c>
      <c r="P3" s="334">
        <v>3623</v>
      </c>
      <c r="Q3" s="440">
        <v>3820</v>
      </c>
      <c r="R3" s="334">
        <v>3600</v>
      </c>
      <c r="S3" s="619">
        <v>2616.42</v>
      </c>
      <c r="T3" s="334">
        <f>(5*110)+(5*200)</f>
        <v>1550</v>
      </c>
      <c r="U3" s="619">
        <v>1336</v>
      </c>
      <c r="V3" s="334">
        <f>190*12</f>
        <v>2280</v>
      </c>
      <c r="W3" s="345">
        <f>V3-T3</f>
        <v>730</v>
      </c>
      <c r="X3" s="578">
        <f>V3/12/Summary!$C$46</f>
        <v>7.037037037037037</v>
      </c>
      <c r="Y3" s="108" t="s">
        <v>147</v>
      </c>
      <c r="Z3" s="102">
        <f>(3600*1.599)</f>
        <v>5756.4</v>
      </c>
      <c r="AA3" s="717" t="s">
        <v>527</v>
      </c>
      <c r="AB3" s="718"/>
      <c r="AC3" s="718"/>
      <c r="AD3" s="718"/>
      <c r="AE3" s="718"/>
      <c r="AF3" s="718"/>
      <c r="AG3" s="719"/>
      <c r="AH3" s="679" t="s">
        <v>537</v>
      </c>
    </row>
    <row r="4" spans="1:34" ht="12.75">
      <c r="A4" s="273" t="s">
        <v>151</v>
      </c>
      <c r="B4" s="290">
        <v>855</v>
      </c>
      <c r="C4" s="292">
        <v>820</v>
      </c>
      <c r="D4" s="334">
        <v>800</v>
      </c>
      <c r="E4" s="292">
        <v>712</v>
      </c>
      <c r="F4" s="333">
        <f>1041-216</f>
        <v>825</v>
      </c>
      <c r="G4" s="292">
        <f>879.3-216</f>
        <v>663.3</v>
      </c>
      <c r="H4" s="334">
        <v>825</v>
      </c>
      <c r="I4" s="343">
        <v>815.41</v>
      </c>
      <c r="J4" s="334">
        <v>825</v>
      </c>
      <c r="K4" s="440">
        <v>746.36</v>
      </c>
      <c r="L4" s="334">
        <v>825</v>
      </c>
      <c r="M4" s="440">
        <v>680.77</v>
      </c>
      <c r="N4" s="334">
        <v>825</v>
      </c>
      <c r="O4" s="440">
        <v>675.39</v>
      </c>
      <c r="P4" s="334">
        <v>825</v>
      </c>
      <c r="Q4" s="440">
        <v>623</v>
      </c>
      <c r="R4" s="334">
        <v>750</v>
      </c>
      <c r="S4" s="619">
        <v>840.83</v>
      </c>
      <c r="T4" s="334">
        <v>750</v>
      </c>
      <c r="U4" s="619">
        <v>499</v>
      </c>
      <c r="V4" s="334">
        <v>750</v>
      </c>
      <c r="W4" s="345">
        <f aca="true" t="shared" si="0" ref="W4:W11">V4-T4</f>
        <v>0</v>
      </c>
      <c r="X4" s="578">
        <f>V4/12/Summary!$C$46</f>
        <v>2.314814814814815</v>
      </c>
      <c r="Y4" s="108" t="s">
        <v>147</v>
      </c>
      <c r="Z4" s="102"/>
      <c r="AA4" s="693"/>
      <c r="AB4" s="692"/>
      <c r="AC4" s="692"/>
      <c r="AD4" s="692"/>
      <c r="AE4" s="692"/>
      <c r="AF4" s="692"/>
      <c r="AG4" s="692"/>
      <c r="AH4" s="163"/>
    </row>
    <row r="5" spans="1:34" ht="12" customHeight="1">
      <c r="A5" s="274" t="s">
        <v>179</v>
      </c>
      <c r="B5" s="290">
        <v>210</v>
      </c>
      <c r="C5" s="292">
        <v>119</v>
      </c>
      <c r="D5" s="334">
        <v>140</v>
      </c>
      <c r="E5" s="292">
        <v>140</v>
      </c>
      <c r="F5" s="290">
        <v>140</v>
      </c>
      <c r="G5" s="292">
        <v>129</v>
      </c>
      <c r="H5" s="334">
        <f>8*30</f>
        <v>240</v>
      </c>
      <c r="I5" s="343">
        <v>114</v>
      </c>
      <c r="J5" s="334">
        <v>800</v>
      </c>
      <c r="K5" s="440">
        <v>556.98</v>
      </c>
      <c r="L5" s="334">
        <v>800</v>
      </c>
      <c r="M5" s="440">
        <v>7.54</v>
      </c>
      <c r="N5" s="334">
        <f>(4*30)+(4*100)+(8*10)</f>
        <v>600</v>
      </c>
      <c r="O5" s="440">
        <v>100</v>
      </c>
      <c r="P5" s="334">
        <f>(4*30)+(4*100)+(8*10)</f>
        <v>600</v>
      </c>
      <c r="Q5" s="440">
        <v>130</v>
      </c>
      <c r="R5" s="334">
        <f>(4*30)+(4*100)+(8*10)</f>
        <v>600</v>
      </c>
      <c r="S5" s="619">
        <v>302.91</v>
      </c>
      <c r="T5" s="334">
        <f>(4*30)+(4*100)+(8*10)</f>
        <v>600</v>
      </c>
      <c r="U5" s="619">
        <v>0</v>
      </c>
      <c r="V5" s="660">
        <f>6*130</f>
        <v>780</v>
      </c>
      <c r="W5" s="345">
        <f t="shared" si="0"/>
        <v>180</v>
      </c>
      <c r="X5" s="578">
        <f>V5/12/Summary!$C$46</f>
        <v>2.4074074074074074</v>
      </c>
      <c r="Y5" s="108" t="s">
        <v>147</v>
      </c>
      <c r="Z5" s="102"/>
      <c r="AA5" s="687" t="s">
        <v>371</v>
      </c>
      <c r="AB5" s="688"/>
      <c r="AC5" s="688"/>
      <c r="AD5" s="688"/>
      <c r="AE5" s="688"/>
      <c r="AF5" s="688"/>
      <c r="AG5" s="662"/>
      <c r="AH5" s="164"/>
    </row>
    <row r="6" spans="1:41" ht="12.75">
      <c r="A6" s="273" t="s">
        <v>152</v>
      </c>
      <c r="B6" s="290">
        <v>400</v>
      </c>
      <c r="C6" s="292">
        <v>238</v>
      </c>
      <c r="D6" s="334">
        <v>400</v>
      </c>
      <c r="E6" s="291">
        <v>406</v>
      </c>
      <c r="F6" s="333">
        <v>500</v>
      </c>
      <c r="G6" s="291">
        <v>410.23</v>
      </c>
      <c r="H6" s="334">
        <v>500</v>
      </c>
      <c r="I6" s="343">
        <v>442.56</v>
      </c>
      <c r="J6" s="334">
        <v>500</v>
      </c>
      <c r="K6" s="440">
        <v>1323.65</v>
      </c>
      <c r="L6" s="334">
        <v>500</v>
      </c>
      <c r="M6" s="440">
        <v>572.25</v>
      </c>
      <c r="N6" s="334">
        <v>700</v>
      </c>
      <c r="O6" s="440">
        <v>453.68</v>
      </c>
      <c r="P6" s="334">
        <v>700</v>
      </c>
      <c r="Q6" s="440">
        <v>236</v>
      </c>
      <c r="R6" s="334">
        <v>600</v>
      </c>
      <c r="S6" s="619">
        <v>486.38</v>
      </c>
      <c r="T6" s="334">
        <v>400</v>
      </c>
      <c r="U6" s="619">
        <v>13</v>
      </c>
      <c r="V6" s="334">
        <v>400</v>
      </c>
      <c r="W6" s="345">
        <f t="shared" si="0"/>
        <v>0</v>
      </c>
      <c r="X6" s="578">
        <f>V6/12/Summary!$C$46</f>
        <v>1.234567901234568</v>
      </c>
      <c r="Y6" s="108" t="s">
        <v>150</v>
      </c>
      <c r="Z6" s="102"/>
      <c r="AA6" s="693" t="s">
        <v>447</v>
      </c>
      <c r="AB6" s="692"/>
      <c r="AC6" s="692"/>
      <c r="AD6" s="692"/>
      <c r="AE6" s="692"/>
      <c r="AF6" s="692"/>
      <c r="AG6" s="692"/>
      <c r="AH6" s="164"/>
      <c r="AI6" s="151"/>
      <c r="AJ6" s="151"/>
      <c r="AK6" s="151"/>
      <c r="AL6" s="151"/>
      <c r="AM6" s="151"/>
      <c r="AN6" s="151"/>
      <c r="AO6" s="151"/>
    </row>
    <row r="7" spans="1:34" ht="12.75">
      <c r="A7" s="273" t="s">
        <v>153</v>
      </c>
      <c r="B7" s="293">
        <v>250</v>
      </c>
      <c r="C7" s="294">
        <v>288</v>
      </c>
      <c r="D7" s="335">
        <v>250</v>
      </c>
      <c r="E7" s="336">
        <v>756</v>
      </c>
      <c r="F7" s="344">
        <v>400</v>
      </c>
      <c r="G7" s="336">
        <v>243.07</v>
      </c>
      <c r="H7" s="334">
        <v>400</v>
      </c>
      <c r="I7" s="343">
        <v>158.54</v>
      </c>
      <c r="J7" s="334">
        <v>400</v>
      </c>
      <c r="K7" s="440">
        <v>176.88</v>
      </c>
      <c r="L7" s="334">
        <v>400</v>
      </c>
      <c r="M7" s="440">
        <v>267.02</v>
      </c>
      <c r="N7" s="334">
        <v>400</v>
      </c>
      <c r="O7" s="440">
        <v>642.21</v>
      </c>
      <c r="P7" s="334">
        <v>400</v>
      </c>
      <c r="Q7" s="440">
        <v>551</v>
      </c>
      <c r="R7" s="334">
        <v>400</v>
      </c>
      <c r="S7" s="619">
        <v>832.49</v>
      </c>
      <c r="T7" s="334">
        <v>600</v>
      </c>
      <c r="U7" s="619">
        <v>153</v>
      </c>
      <c r="V7" s="334">
        <v>600</v>
      </c>
      <c r="W7" s="345">
        <f t="shared" si="0"/>
        <v>0</v>
      </c>
      <c r="X7" s="578">
        <f>V7/12/Summary!$C$46</f>
        <v>1.8518518518518519</v>
      </c>
      <c r="Y7" s="395" t="s">
        <v>150</v>
      </c>
      <c r="Z7" s="111"/>
      <c r="AA7" s="720" t="s">
        <v>161</v>
      </c>
      <c r="AB7" s="720"/>
      <c r="AC7" s="720"/>
      <c r="AD7" s="720"/>
      <c r="AE7" s="720"/>
      <c r="AF7" s="720"/>
      <c r="AG7" s="720"/>
      <c r="AH7" s="166"/>
    </row>
    <row r="8" spans="1:34" ht="12.75">
      <c r="A8" s="273" t="s">
        <v>419</v>
      </c>
      <c r="B8" s="324"/>
      <c r="C8" s="294"/>
      <c r="D8" s="326"/>
      <c r="E8" s="336"/>
      <c r="F8" s="326"/>
      <c r="G8" s="336"/>
      <c r="H8" s="407"/>
      <c r="I8" s="442"/>
      <c r="J8" s="407">
        <v>-216</v>
      </c>
      <c r="K8" s="442">
        <v>-216</v>
      </c>
      <c r="L8" s="407">
        <v>-216</v>
      </c>
      <c r="M8" s="442">
        <v>-216</v>
      </c>
      <c r="N8" s="326">
        <v>-216</v>
      </c>
      <c r="O8" s="442">
        <v>-216</v>
      </c>
      <c r="P8" s="326">
        <v>-216</v>
      </c>
      <c r="Q8" s="442">
        <v>-216</v>
      </c>
      <c r="R8" s="344">
        <v>-216</v>
      </c>
      <c r="S8" s="343">
        <v>-216</v>
      </c>
      <c r="T8" s="335">
        <v>-216</v>
      </c>
      <c r="U8" s="343">
        <v>-180</v>
      </c>
      <c r="V8" s="326">
        <v>-216</v>
      </c>
      <c r="W8" s="345">
        <f t="shared" si="0"/>
        <v>0</v>
      </c>
      <c r="X8" s="578">
        <f>V8/12/Summary!$C$46</f>
        <v>-0.6666666666666666</v>
      </c>
      <c r="Y8" s="395"/>
      <c r="Z8" s="111"/>
      <c r="AA8" s="663"/>
      <c r="AB8" s="663"/>
      <c r="AC8" s="663"/>
      <c r="AD8" s="663"/>
      <c r="AE8" s="663"/>
      <c r="AF8" s="663"/>
      <c r="AG8" s="664"/>
      <c r="AH8" s="165"/>
    </row>
    <row r="9" spans="1:34" ht="12.75">
      <c r="A9" s="273" t="s">
        <v>452</v>
      </c>
      <c r="B9" s="324"/>
      <c r="C9" s="294"/>
      <c r="D9" s="326"/>
      <c r="E9" s="336"/>
      <c r="F9" s="326"/>
      <c r="G9" s="336"/>
      <c r="H9" s="340"/>
      <c r="I9" s="558"/>
      <c r="J9" s="409"/>
      <c r="K9" s="444"/>
      <c r="L9" s="409">
        <v>0</v>
      </c>
      <c r="M9" s="444">
        <v>0</v>
      </c>
      <c r="N9" s="407">
        <f>(50*12)+100</f>
        <v>700</v>
      </c>
      <c r="O9" s="444">
        <v>387.6</v>
      </c>
      <c r="P9" s="407">
        <f>(50*12)+100</f>
        <v>700</v>
      </c>
      <c r="Q9" s="444">
        <v>885</v>
      </c>
      <c r="R9" s="407">
        <v>700</v>
      </c>
      <c r="S9" s="620">
        <v>896.79</v>
      </c>
      <c r="T9" s="407">
        <f>74*12</f>
        <v>888</v>
      </c>
      <c r="U9" s="620">
        <v>693</v>
      </c>
      <c r="V9" s="407">
        <f>77*12</f>
        <v>924</v>
      </c>
      <c r="W9" s="345">
        <f t="shared" si="0"/>
        <v>36</v>
      </c>
      <c r="X9" s="578">
        <f>V9/12/Summary!$C$46</f>
        <v>2.8518518518518516</v>
      </c>
      <c r="Y9" s="395" t="s">
        <v>188</v>
      </c>
      <c r="Z9" s="111"/>
      <c r="AA9" s="663" t="s">
        <v>542</v>
      </c>
      <c r="AB9" s="663"/>
      <c r="AC9" s="663"/>
      <c r="AD9" s="663"/>
      <c r="AE9" s="663"/>
      <c r="AF9" s="663"/>
      <c r="AG9" s="664"/>
      <c r="AH9" s="165"/>
    </row>
    <row r="10" spans="1:34" ht="12.75">
      <c r="A10" s="274" t="s">
        <v>154</v>
      </c>
      <c r="B10" s="295">
        <v>500</v>
      </c>
      <c r="C10" s="296">
        <v>495</v>
      </c>
      <c r="D10" s="337">
        <v>500</v>
      </c>
      <c r="E10" s="296">
        <v>435</v>
      </c>
      <c r="F10" s="295">
        <v>500</v>
      </c>
      <c r="G10" s="304">
        <v>181.22</v>
      </c>
      <c r="H10" s="337">
        <v>500</v>
      </c>
      <c r="I10" s="304">
        <v>354.56</v>
      </c>
      <c r="J10" s="337">
        <v>500</v>
      </c>
      <c r="K10" s="441">
        <v>60.67</v>
      </c>
      <c r="L10" s="337">
        <v>500</v>
      </c>
      <c r="M10" s="441">
        <v>98.27</v>
      </c>
      <c r="N10" s="337">
        <v>500</v>
      </c>
      <c r="O10" s="441">
        <v>500</v>
      </c>
      <c r="P10" s="337">
        <v>500</v>
      </c>
      <c r="Q10" s="441">
        <v>322</v>
      </c>
      <c r="R10" s="409">
        <v>500</v>
      </c>
      <c r="S10" s="621">
        <v>62.94</v>
      </c>
      <c r="T10" s="337">
        <f>500</f>
        <v>500</v>
      </c>
      <c r="U10" s="621">
        <v>83</v>
      </c>
      <c r="V10" s="337">
        <f>500</f>
        <v>500</v>
      </c>
      <c r="W10" s="345">
        <f t="shared" si="0"/>
        <v>0</v>
      </c>
      <c r="X10" s="578">
        <f>V10/12/Summary!$C$46</f>
        <v>1.5432098765432098</v>
      </c>
      <c r="Y10" s="395" t="s">
        <v>150</v>
      </c>
      <c r="Z10" s="111" t="s">
        <v>160</v>
      </c>
      <c r="AA10" s="709" t="s">
        <v>517</v>
      </c>
      <c r="AB10" s="710"/>
      <c r="AC10" s="710"/>
      <c r="AD10" s="710"/>
      <c r="AE10" s="710"/>
      <c r="AF10" s="710"/>
      <c r="AG10" s="665"/>
      <c r="AH10" s="165"/>
    </row>
    <row r="11" spans="1:34" ht="13.5" thickBot="1">
      <c r="A11" s="275" t="s">
        <v>3</v>
      </c>
      <c r="B11" s="297">
        <f aca="true" t="shared" si="1" ref="B11:X11">SUM(B3:B10)</f>
        <v>4815</v>
      </c>
      <c r="C11" s="298">
        <f t="shared" si="1"/>
        <v>5112</v>
      </c>
      <c r="D11" s="338">
        <f>SUM(D3:D10)</f>
        <v>5390</v>
      </c>
      <c r="E11" s="339">
        <f>SUM(E3:E10)</f>
        <v>5618</v>
      </c>
      <c r="F11" s="338">
        <f>SUM(F3:F10)</f>
        <v>4965</v>
      </c>
      <c r="G11" s="339">
        <f>SUM(G3:G10)</f>
        <v>4675.820000000001</v>
      </c>
      <c r="H11" s="338">
        <f t="shared" si="1"/>
        <v>4973</v>
      </c>
      <c r="I11" s="339">
        <f t="shared" si="1"/>
        <v>4857.070000000001</v>
      </c>
      <c r="J11" s="338">
        <f t="shared" si="1"/>
        <v>6464</v>
      </c>
      <c r="K11" s="339">
        <f t="shared" si="1"/>
        <v>6040.54</v>
      </c>
      <c r="L11" s="338">
        <f t="shared" si="1"/>
        <v>6221</v>
      </c>
      <c r="M11" s="339">
        <f t="shared" si="1"/>
        <v>2981.52</v>
      </c>
      <c r="N11" s="338">
        <f t="shared" si="1"/>
        <v>7132</v>
      </c>
      <c r="O11" s="339">
        <f t="shared" si="1"/>
        <v>6299.430000000001</v>
      </c>
      <c r="P11" s="338">
        <f t="shared" si="1"/>
        <v>7132</v>
      </c>
      <c r="Q11" s="339">
        <f t="shared" si="1"/>
        <v>6351</v>
      </c>
      <c r="R11" s="338">
        <f>SUM(R3:R10)</f>
        <v>6934</v>
      </c>
      <c r="S11" s="622">
        <f>SUM(S3:S10)</f>
        <v>5822.759999999999</v>
      </c>
      <c r="T11" s="338">
        <f>SUM(T3:T10)</f>
        <v>5072</v>
      </c>
      <c r="U11" s="622">
        <f>SUM(U3:U10)</f>
        <v>2597</v>
      </c>
      <c r="V11" s="338">
        <f t="shared" si="1"/>
        <v>6018</v>
      </c>
      <c r="W11" s="345">
        <f t="shared" si="0"/>
        <v>946</v>
      </c>
      <c r="X11" s="579">
        <f t="shared" si="1"/>
        <v>18.574074074074073</v>
      </c>
      <c r="Y11" s="110"/>
      <c r="Z11" s="110"/>
      <c r="AA11" s="685"/>
      <c r="AB11" s="686"/>
      <c r="AC11" s="686"/>
      <c r="AD11" s="686"/>
      <c r="AE11" s="686"/>
      <c r="AF11" s="686"/>
      <c r="AG11" s="686"/>
      <c r="AH11" s="159"/>
    </row>
    <row r="12" spans="1:34" ht="15" customHeight="1">
      <c r="A12" s="213" t="s">
        <v>1</v>
      </c>
      <c r="B12" s="288"/>
      <c r="C12" s="289"/>
      <c r="D12" s="288"/>
      <c r="E12" s="289"/>
      <c r="F12" s="288"/>
      <c r="G12" s="289"/>
      <c r="H12" s="288"/>
      <c r="I12" s="289"/>
      <c r="J12" s="288"/>
      <c r="K12" s="289"/>
      <c r="L12" s="288"/>
      <c r="M12" s="289"/>
      <c r="N12" s="288"/>
      <c r="O12" s="289"/>
      <c r="P12" s="288"/>
      <c r="Q12" s="289"/>
      <c r="R12" s="288"/>
      <c r="S12" s="214"/>
      <c r="T12" s="288"/>
      <c r="U12" s="214"/>
      <c r="V12" s="288"/>
      <c r="W12" s="289"/>
      <c r="X12" s="289"/>
      <c r="Y12" s="214"/>
      <c r="Z12" s="214"/>
      <c r="AA12" s="214"/>
      <c r="AB12" s="214"/>
      <c r="AC12" s="214"/>
      <c r="AD12" s="214"/>
      <c r="AE12" s="214"/>
      <c r="AF12" s="214"/>
      <c r="AG12" s="214"/>
      <c r="AH12" s="160"/>
    </row>
    <row r="13" spans="1:34" ht="12.75">
      <c r="A13" s="276" t="s">
        <v>165</v>
      </c>
      <c r="B13" s="299">
        <v>6000</v>
      </c>
      <c r="C13" s="300">
        <v>6738</v>
      </c>
      <c r="D13" s="340">
        <v>6100</v>
      </c>
      <c r="E13" s="300">
        <v>4632</v>
      </c>
      <c r="F13" s="340">
        <v>5900</v>
      </c>
      <c r="G13" s="300">
        <v>4576.39</v>
      </c>
      <c r="H13" s="340">
        <v>5900</v>
      </c>
      <c r="I13" s="300">
        <v>6027.75</v>
      </c>
      <c r="J13" s="407">
        <v>5900</v>
      </c>
      <c r="K13" s="442">
        <v>3280.92</v>
      </c>
      <c r="L13" s="340">
        <v>5900</v>
      </c>
      <c r="M13" s="442">
        <v>5891</v>
      </c>
      <c r="N13" s="340">
        <v>6000</v>
      </c>
      <c r="O13" s="442">
        <v>6091</v>
      </c>
      <c r="P13" s="340">
        <v>6000</v>
      </c>
      <c r="Q13" s="442">
        <v>6117</v>
      </c>
      <c r="R13" s="407">
        <v>6000</v>
      </c>
      <c r="S13" s="620">
        <v>4794</v>
      </c>
      <c r="T13" s="407">
        <v>5800</v>
      </c>
      <c r="U13" s="620">
        <v>3450</v>
      </c>
      <c r="V13" s="340">
        <v>5750</v>
      </c>
      <c r="W13" s="345">
        <f aca="true" t="shared" si="2" ref="W13:W20">V13-T13</f>
        <v>-50</v>
      </c>
      <c r="X13" s="578">
        <f>V13/12/Summary!$C$46</f>
        <v>17.746913580246915</v>
      </c>
      <c r="Y13" s="396" t="s">
        <v>145</v>
      </c>
      <c r="Z13" s="106"/>
      <c r="AA13" s="692" t="s">
        <v>538</v>
      </c>
      <c r="AB13" s="692"/>
      <c r="AC13" s="692"/>
      <c r="AD13" s="692"/>
      <c r="AE13" s="692"/>
      <c r="AF13" s="692"/>
      <c r="AG13" s="692"/>
      <c r="AH13" s="158" t="s">
        <v>280</v>
      </c>
    </row>
    <row r="14" spans="1:34" ht="12.75">
      <c r="A14" s="276" t="s">
        <v>309</v>
      </c>
      <c r="B14" s="301">
        <v>0</v>
      </c>
      <c r="C14" s="302">
        <v>0</v>
      </c>
      <c r="D14" s="340">
        <v>1928</v>
      </c>
      <c r="E14" s="300">
        <v>1928</v>
      </c>
      <c r="F14" s="340">
        <v>1678</v>
      </c>
      <c r="G14" s="300">
        <v>1653.61</v>
      </c>
      <c r="H14" s="340">
        <v>1678</v>
      </c>
      <c r="I14" s="300">
        <v>1624.08</v>
      </c>
      <c r="J14" s="408">
        <v>1678</v>
      </c>
      <c r="K14" s="443">
        <v>1615.08</v>
      </c>
      <c r="L14" s="340">
        <v>1678</v>
      </c>
      <c r="M14" s="443">
        <v>1678</v>
      </c>
      <c r="N14" s="340">
        <v>1678</v>
      </c>
      <c r="O14" s="443">
        <v>1678</v>
      </c>
      <c r="P14" s="340">
        <v>1678</v>
      </c>
      <c r="Q14" s="443">
        <v>1678</v>
      </c>
      <c r="R14" s="408">
        <v>1678</v>
      </c>
      <c r="S14" s="620">
        <v>1678</v>
      </c>
      <c r="T14" s="408">
        <v>1678</v>
      </c>
      <c r="U14" s="620">
        <v>0</v>
      </c>
      <c r="V14" s="340">
        <v>1678</v>
      </c>
      <c r="W14" s="345">
        <f t="shared" si="2"/>
        <v>0</v>
      </c>
      <c r="X14" s="578">
        <f>V14/12/Summary!$C$46</f>
        <v>5.179012345679013</v>
      </c>
      <c r="Y14" s="598" t="s">
        <v>145</v>
      </c>
      <c r="Z14" s="106"/>
      <c r="AA14" s="662"/>
      <c r="AB14" s="662"/>
      <c r="AC14" s="662"/>
      <c r="AD14" s="662"/>
      <c r="AE14" s="662"/>
      <c r="AF14" s="662"/>
      <c r="AG14" s="662"/>
      <c r="AH14" s="158"/>
    </row>
    <row r="15" spans="1:34" ht="12.75">
      <c r="A15" s="277" t="s">
        <v>87</v>
      </c>
      <c r="B15" s="303">
        <v>2500</v>
      </c>
      <c r="C15" s="304">
        <v>2743</v>
      </c>
      <c r="D15" s="303">
        <v>2950</v>
      </c>
      <c r="E15" s="304">
        <v>2008</v>
      </c>
      <c r="F15" s="303">
        <v>3420</v>
      </c>
      <c r="G15" s="304">
        <v>2987.5</v>
      </c>
      <c r="H15" s="303">
        <v>2500</v>
      </c>
      <c r="I15" s="304">
        <v>2742.5</v>
      </c>
      <c r="J15" s="409">
        <v>2300</v>
      </c>
      <c r="K15" s="444">
        <v>1922.5</v>
      </c>
      <c r="L15" s="303">
        <v>2865</v>
      </c>
      <c r="M15" s="444">
        <v>2945</v>
      </c>
      <c r="N15" s="303">
        <v>2950</v>
      </c>
      <c r="O15" s="444">
        <v>2252.5</v>
      </c>
      <c r="P15" s="303">
        <v>2950</v>
      </c>
      <c r="Q15" s="444">
        <v>1853</v>
      </c>
      <c r="R15" s="409">
        <v>2600</v>
      </c>
      <c r="S15" s="621">
        <v>2920</v>
      </c>
      <c r="T15" s="409">
        <v>2600</v>
      </c>
      <c r="U15" s="621">
        <v>2185</v>
      </c>
      <c r="V15" s="661">
        <v>2600</v>
      </c>
      <c r="W15" s="345">
        <f t="shared" si="2"/>
        <v>0</v>
      </c>
      <c r="X15" s="578">
        <f>V15/12/Summary!$C$46</f>
        <v>8.024691358024691</v>
      </c>
      <c r="Y15" s="396" t="s">
        <v>145</v>
      </c>
      <c r="Z15" s="106"/>
      <c r="AA15" s="688" t="s">
        <v>509</v>
      </c>
      <c r="AB15" s="688"/>
      <c r="AC15" s="688"/>
      <c r="AD15" s="688"/>
      <c r="AE15" s="688"/>
      <c r="AF15" s="688"/>
      <c r="AG15" s="688"/>
      <c r="AH15" s="158"/>
    </row>
    <row r="16" spans="1:34" ht="12.75">
      <c r="A16" s="278" t="s">
        <v>2</v>
      </c>
      <c r="B16" s="305">
        <v>575</v>
      </c>
      <c r="C16" s="302">
        <v>0</v>
      </c>
      <c r="D16" s="334">
        <v>0</v>
      </c>
      <c r="E16" s="302">
        <v>0</v>
      </c>
      <c r="F16" s="305">
        <v>0</v>
      </c>
      <c r="G16" s="343">
        <v>0</v>
      </c>
      <c r="H16" s="334">
        <v>0</v>
      </c>
      <c r="I16" s="343"/>
      <c r="J16" s="334">
        <v>0</v>
      </c>
      <c r="K16" s="343">
        <v>0</v>
      </c>
      <c r="L16" s="334">
        <v>0</v>
      </c>
      <c r="M16" s="343">
        <v>0</v>
      </c>
      <c r="N16" s="334">
        <v>0</v>
      </c>
      <c r="O16" s="343">
        <v>0</v>
      </c>
      <c r="P16" s="334">
        <v>0</v>
      </c>
      <c r="Q16" s="343">
        <v>0</v>
      </c>
      <c r="R16" s="334">
        <v>0</v>
      </c>
      <c r="S16" s="635">
        <v>0</v>
      </c>
      <c r="T16" s="334">
        <v>0</v>
      </c>
      <c r="U16" s="635">
        <v>0</v>
      </c>
      <c r="V16" s="334">
        <v>0</v>
      </c>
      <c r="W16" s="345">
        <f t="shared" si="2"/>
        <v>0</v>
      </c>
      <c r="X16" s="578">
        <f>V16/12/Summary!$C$46</f>
        <v>0</v>
      </c>
      <c r="Y16" s="397" t="s">
        <v>145</v>
      </c>
      <c r="Z16" s="106"/>
      <c r="AA16" s="698"/>
      <c r="AB16" s="698"/>
      <c r="AC16" s="698"/>
      <c r="AD16" s="698"/>
      <c r="AE16" s="698"/>
      <c r="AF16" s="698"/>
      <c r="AG16" s="698"/>
      <c r="AH16" s="158" t="s">
        <v>280</v>
      </c>
    </row>
    <row r="17" spans="1:34" ht="12.75">
      <c r="A17" s="677" t="s">
        <v>244</v>
      </c>
      <c r="B17" s="306">
        <v>600</v>
      </c>
      <c r="C17" s="296">
        <v>567</v>
      </c>
      <c r="D17" s="303">
        <v>650</v>
      </c>
      <c r="E17" s="304">
        <v>1452</v>
      </c>
      <c r="F17" s="303">
        <v>850</v>
      </c>
      <c r="G17" s="304">
        <v>601.23</v>
      </c>
      <c r="H17" s="303">
        <v>850</v>
      </c>
      <c r="I17" s="304">
        <v>749.92</v>
      </c>
      <c r="J17" s="409">
        <v>1050</v>
      </c>
      <c r="K17" s="444">
        <v>905.27</v>
      </c>
      <c r="L17" s="303">
        <v>1050</v>
      </c>
      <c r="M17" s="444">
        <v>1047.63</v>
      </c>
      <c r="N17" s="303">
        <v>1050</v>
      </c>
      <c r="O17" s="444">
        <v>1834.08</v>
      </c>
      <c r="P17" s="303">
        <v>1050</v>
      </c>
      <c r="Q17" s="444">
        <v>1627</v>
      </c>
      <c r="R17" s="409">
        <v>1200</v>
      </c>
      <c r="S17" s="621">
        <v>1311.25</v>
      </c>
      <c r="T17" s="409">
        <v>1500</v>
      </c>
      <c r="U17" s="621">
        <v>1357</v>
      </c>
      <c r="V17" s="303">
        <v>1500</v>
      </c>
      <c r="W17" s="345">
        <f t="shared" si="2"/>
        <v>0</v>
      </c>
      <c r="X17" s="578">
        <f>V17/12/Summary!$C$46</f>
        <v>4.62962962962963</v>
      </c>
      <c r="Y17" s="396" t="s">
        <v>145</v>
      </c>
      <c r="Z17" s="106"/>
      <c r="AA17" s="667" t="s">
        <v>370</v>
      </c>
      <c r="AB17" s="667"/>
      <c r="AC17" s="667"/>
      <c r="AD17" s="667"/>
      <c r="AE17" s="667"/>
      <c r="AF17" s="667"/>
      <c r="AG17" s="667"/>
      <c r="AH17" s="158" t="s">
        <v>298</v>
      </c>
    </row>
    <row r="18" spans="1:34" ht="12.75">
      <c r="A18" s="123" t="s">
        <v>397</v>
      </c>
      <c r="B18" s="452"/>
      <c r="C18" s="453"/>
      <c r="D18" s="307"/>
      <c r="E18" s="308"/>
      <c r="F18" s="307"/>
      <c r="G18" s="308"/>
      <c r="H18" s="307"/>
      <c r="I18" s="308"/>
      <c r="J18" s="410"/>
      <c r="K18" s="445"/>
      <c r="L18" s="307">
        <f>5*12</f>
        <v>60</v>
      </c>
      <c r="M18" s="445">
        <v>57.686</v>
      </c>
      <c r="N18" s="307">
        <v>60</v>
      </c>
      <c r="O18" s="445">
        <v>62.32</v>
      </c>
      <c r="P18" s="307">
        <v>60</v>
      </c>
      <c r="Q18" s="445">
        <v>60</v>
      </c>
      <c r="R18" s="410">
        <v>60</v>
      </c>
      <c r="S18" s="623">
        <v>60</v>
      </c>
      <c r="T18" s="410">
        <v>60</v>
      </c>
      <c r="U18" s="623">
        <v>30</v>
      </c>
      <c r="V18" s="307">
        <v>60</v>
      </c>
      <c r="W18" s="345">
        <f t="shared" si="2"/>
        <v>0</v>
      </c>
      <c r="X18" s="578">
        <f>V18/12/Summary!$C$46</f>
        <v>0.18518518518518517</v>
      </c>
      <c r="Y18" s="108" t="s">
        <v>147</v>
      </c>
      <c r="Z18" s="106"/>
      <c r="AA18" s="668" t="s">
        <v>403</v>
      </c>
      <c r="AB18" s="668"/>
      <c r="AC18" s="668"/>
      <c r="AD18" s="668"/>
      <c r="AE18" s="668"/>
      <c r="AF18" s="668"/>
      <c r="AG18" s="668"/>
      <c r="AH18" s="158"/>
    </row>
    <row r="19" spans="1:34" ht="12.75" customHeight="1">
      <c r="A19" s="277" t="s">
        <v>245</v>
      </c>
      <c r="B19" s="307">
        <v>500</v>
      </c>
      <c r="C19" s="308">
        <v>453</v>
      </c>
      <c r="D19" s="307">
        <v>500</v>
      </c>
      <c r="E19" s="308">
        <v>12</v>
      </c>
      <c r="F19" s="307">
        <v>500</v>
      </c>
      <c r="G19" s="308">
        <v>430.28</v>
      </c>
      <c r="H19" s="307">
        <v>500</v>
      </c>
      <c r="I19" s="308">
        <v>523.01</v>
      </c>
      <c r="J19" s="410">
        <v>500</v>
      </c>
      <c r="K19" s="445">
        <v>444.5</v>
      </c>
      <c r="L19" s="307">
        <v>500</v>
      </c>
      <c r="M19" s="445">
        <v>363.87</v>
      </c>
      <c r="N19" s="307">
        <v>500</v>
      </c>
      <c r="O19" s="445">
        <v>144.93</v>
      </c>
      <c r="P19" s="307">
        <v>500</v>
      </c>
      <c r="Q19" s="445">
        <v>82</v>
      </c>
      <c r="R19" s="410">
        <v>500</v>
      </c>
      <c r="S19" s="623">
        <v>204.64</v>
      </c>
      <c r="T19" s="410">
        <v>500</v>
      </c>
      <c r="U19" s="623">
        <v>105</v>
      </c>
      <c r="V19" s="307">
        <v>500</v>
      </c>
      <c r="W19" s="345">
        <f t="shared" si="2"/>
        <v>0</v>
      </c>
      <c r="X19" s="578">
        <f>V19/12/Summary!$C$46</f>
        <v>1.5432098765432098</v>
      </c>
      <c r="Y19" s="396" t="s">
        <v>145</v>
      </c>
      <c r="Z19" s="107" t="s">
        <v>160</v>
      </c>
      <c r="AA19" s="714" t="s">
        <v>398</v>
      </c>
      <c r="AB19" s="715"/>
      <c r="AC19" s="715"/>
      <c r="AD19" s="715"/>
      <c r="AE19" s="715"/>
      <c r="AF19" s="715"/>
      <c r="AG19" s="715"/>
      <c r="AH19" s="158"/>
    </row>
    <row r="20" spans="1:34" ht="13.5" thickBot="1">
      <c r="A20" s="279" t="s">
        <v>3</v>
      </c>
      <c r="B20" s="309">
        <f aca="true" t="shared" si="3" ref="B20:V20">SUM(B13:B19)</f>
        <v>10175</v>
      </c>
      <c r="C20" s="310">
        <f t="shared" si="3"/>
        <v>10501</v>
      </c>
      <c r="D20" s="341">
        <f t="shared" si="3"/>
        <v>12128</v>
      </c>
      <c r="E20" s="310">
        <f t="shared" si="3"/>
        <v>10032</v>
      </c>
      <c r="F20" s="309">
        <f t="shared" si="3"/>
        <v>12348</v>
      </c>
      <c r="G20" s="310">
        <f t="shared" si="3"/>
        <v>10249.01</v>
      </c>
      <c r="H20" s="341">
        <f t="shared" si="3"/>
        <v>11428</v>
      </c>
      <c r="I20" s="351">
        <f t="shared" si="3"/>
        <v>11667.26</v>
      </c>
      <c r="J20" s="411">
        <f t="shared" si="3"/>
        <v>11428</v>
      </c>
      <c r="K20" s="412">
        <f t="shared" si="3"/>
        <v>8168.27</v>
      </c>
      <c r="L20" s="341">
        <f t="shared" si="3"/>
        <v>12053</v>
      </c>
      <c r="M20" s="412">
        <f t="shared" si="3"/>
        <v>11983.186000000002</v>
      </c>
      <c r="N20" s="411">
        <f t="shared" si="3"/>
        <v>12238</v>
      </c>
      <c r="O20" s="412">
        <f t="shared" si="3"/>
        <v>12062.83</v>
      </c>
      <c r="P20" s="411">
        <f t="shared" si="3"/>
        <v>12238</v>
      </c>
      <c r="Q20" s="412">
        <f t="shared" si="3"/>
        <v>11417</v>
      </c>
      <c r="R20" s="411">
        <f>SUM(R13:R19)</f>
        <v>12038</v>
      </c>
      <c r="S20" s="624">
        <f>SUM(S13:S19)</f>
        <v>10967.89</v>
      </c>
      <c r="T20" s="411">
        <f>SUM(T13:T19)</f>
        <v>12138</v>
      </c>
      <c r="U20" s="624">
        <f>SUM(U13:U19)</f>
        <v>7127</v>
      </c>
      <c r="V20" s="411">
        <f t="shared" si="3"/>
        <v>12088</v>
      </c>
      <c r="W20" s="591">
        <f t="shared" si="2"/>
        <v>-50</v>
      </c>
      <c r="X20" s="580">
        <f>SUM(X13:X19)</f>
        <v>37.308641975308646</v>
      </c>
      <c r="Y20" s="103"/>
      <c r="Z20" s="67"/>
      <c r="AA20" s="685"/>
      <c r="AB20" s="686"/>
      <c r="AC20" s="686"/>
      <c r="AD20" s="686"/>
      <c r="AE20" s="686"/>
      <c r="AF20" s="686"/>
      <c r="AG20" s="686"/>
      <c r="AH20" s="159"/>
    </row>
    <row r="21" spans="1:34" ht="12.75">
      <c r="A21" s="215" t="s">
        <v>4</v>
      </c>
      <c r="B21" s="311"/>
      <c r="C21" s="312"/>
      <c r="D21" s="311"/>
      <c r="E21" s="312"/>
      <c r="F21" s="311"/>
      <c r="G21" s="312"/>
      <c r="H21" s="311"/>
      <c r="I21" s="312"/>
      <c r="J21" s="311"/>
      <c r="K21" s="312"/>
      <c r="L21" s="311"/>
      <c r="M21" s="312"/>
      <c r="N21" s="311"/>
      <c r="O21" s="312"/>
      <c r="P21" s="311"/>
      <c r="Q21" s="312"/>
      <c r="R21" s="311"/>
      <c r="S21" s="216"/>
      <c r="T21" s="311"/>
      <c r="U21" s="216"/>
      <c r="V21" s="311"/>
      <c r="W21" s="312"/>
      <c r="X21" s="312"/>
      <c r="Y21" s="216"/>
      <c r="Z21" s="216"/>
      <c r="AA21" s="216"/>
      <c r="AB21" s="216"/>
      <c r="AC21" s="216"/>
      <c r="AD21" s="216"/>
      <c r="AE21" s="216"/>
      <c r="AF21" s="216"/>
      <c r="AG21" s="216"/>
      <c r="AH21" s="160"/>
    </row>
    <row r="22" spans="1:36" ht="12.75">
      <c r="A22" s="273" t="s">
        <v>6</v>
      </c>
      <c r="B22" s="305">
        <v>2800</v>
      </c>
      <c r="C22" s="302">
        <v>2573</v>
      </c>
      <c r="D22" s="334">
        <v>2800</v>
      </c>
      <c r="E22" s="302">
        <v>2590</v>
      </c>
      <c r="F22" s="305">
        <v>2800</v>
      </c>
      <c r="G22" s="302">
        <v>2649</v>
      </c>
      <c r="H22" s="334">
        <v>2800</v>
      </c>
      <c r="I22" s="343">
        <v>2795.25</v>
      </c>
      <c r="J22" s="334">
        <v>2800</v>
      </c>
      <c r="K22" s="440">
        <v>2596.25</v>
      </c>
      <c r="L22" s="334">
        <v>2800</v>
      </c>
      <c r="M22" s="440">
        <v>2862.5</v>
      </c>
      <c r="N22" s="334">
        <v>2500</v>
      </c>
      <c r="O22" s="440">
        <v>3160.25</v>
      </c>
      <c r="P22" s="334">
        <v>3200</v>
      </c>
      <c r="Q22" s="440">
        <v>3398</v>
      </c>
      <c r="R22" s="334">
        <v>3200</v>
      </c>
      <c r="S22" s="619">
        <v>4464</v>
      </c>
      <c r="T22" s="334">
        <v>3600</v>
      </c>
      <c r="U22" s="619">
        <v>1829</v>
      </c>
      <c r="V22" s="660">
        <v>3600</v>
      </c>
      <c r="W22" s="345">
        <f aca="true" t="shared" si="4" ref="W22:W28">V22-T22</f>
        <v>0</v>
      </c>
      <c r="X22" s="578">
        <f>V22/12/Summary!$C$46</f>
        <v>11.11111111111111</v>
      </c>
      <c r="Y22" s="108" t="s">
        <v>147</v>
      </c>
      <c r="Z22" s="102"/>
      <c r="AA22" s="687" t="s">
        <v>390</v>
      </c>
      <c r="AB22" s="688"/>
      <c r="AC22" s="688"/>
      <c r="AD22" s="688"/>
      <c r="AE22" s="688"/>
      <c r="AF22" s="688"/>
      <c r="AG22" s="688"/>
      <c r="AH22" s="678" t="s">
        <v>536</v>
      </c>
      <c r="AJ22" s="65"/>
    </row>
    <row r="23" spans="1:35" ht="12.75">
      <c r="A23" s="274" t="s">
        <v>242</v>
      </c>
      <c r="B23" s="301">
        <v>5122</v>
      </c>
      <c r="C23" s="313">
        <v>5268</v>
      </c>
      <c r="D23" s="342">
        <v>5400</v>
      </c>
      <c r="E23" s="313">
        <v>5308</v>
      </c>
      <c r="F23" s="301">
        <v>5400</v>
      </c>
      <c r="G23" s="313">
        <v>5347.03</v>
      </c>
      <c r="H23" s="342">
        <v>5400</v>
      </c>
      <c r="I23" s="345">
        <v>5481.26</v>
      </c>
      <c r="J23" s="342">
        <f>2800*2</f>
        <v>5600</v>
      </c>
      <c r="K23" s="446">
        <v>5720.3</v>
      </c>
      <c r="L23" s="342">
        <v>5700</v>
      </c>
      <c r="M23" s="446">
        <v>6126.06</v>
      </c>
      <c r="N23" s="342">
        <v>6400</v>
      </c>
      <c r="O23" s="446">
        <v>6525.98</v>
      </c>
      <c r="P23" s="342">
        <v>6600</v>
      </c>
      <c r="Q23" s="446">
        <v>6711</v>
      </c>
      <c r="R23" s="342">
        <v>6720</v>
      </c>
      <c r="S23" s="625">
        <v>6945.4</v>
      </c>
      <c r="T23" s="342">
        <v>7000</v>
      </c>
      <c r="U23" s="625">
        <v>3533</v>
      </c>
      <c r="V23" s="342">
        <v>7000</v>
      </c>
      <c r="W23" s="345">
        <f t="shared" si="4"/>
        <v>0</v>
      </c>
      <c r="X23" s="578">
        <f>V23/12/Summary!$C$46</f>
        <v>21.60493827160494</v>
      </c>
      <c r="Y23" s="104" t="s">
        <v>147</v>
      </c>
      <c r="Z23" s="64"/>
      <c r="AA23" s="687" t="s">
        <v>535</v>
      </c>
      <c r="AB23" s="688"/>
      <c r="AC23" s="688"/>
      <c r="AD23" s="688"/>
      <c r="AE23" s="688"/>
      <c r="AF23" s="688"/>
      <c r="AG23" s="688"/>
      <c r="AH23" s="680" t="s">
        <v>536</v>
      </c>
      <c r="AI23" s="151"/>
    </row>
    <row r="24" spans="1:34" ht="12.75">
      <c r="A24" s="273" t="s">
        <v>185</v>
      </c>
      <c r="B24" s="305">
        <v>500</v>
      </c>
      <c r="C24" s="302">
        <v>0</v>
      </c>
      <c r="D24" s="334">
        <v>500</v>
      </c>
      <c r="E24" s="302">
        <v>0</v>
      </c>
      <c r="F24" s="305">
        <v>500</v>
      </c>
      <c r="G24" s="302">
        <v>0</v>
      </c>
      <c r="H24" s="334">
        <v>500</v>
      </c>
      <c r="I24" s="343">
        <v>0</v>
      </c>
      <c r="J24" s="334">
        <v>500</v>
      </c>
      <c r="K24" s="440">
        <v>0</v>
      </c>
      <c r="L24" s="334">
        <v>500</v>
      </c>
      <c r="M24" s="440">
        <v>0</v>
      </c>
      <c r="N24" s="334">
        <v>500</v>
      </c>
      <c r="O24" s="440">
        <v>200</v>
      </c>
      <c r="P24" s="334">
        <v>500</v>
      </c>
      <c r="Q24" s="440">
        <v>0</v>
      </c>
      <c r="R24" s="334">
        <v>500</v>
      </c>
      <c r="S24" s="619">
        <v>0</v>
      </c>
      <c r="T24" s="334">
        <v>500</v>
      </c>
      <c r="U24" s="619">
        <v>0</v>
      </c>
      <c r="V24" s="334">
        <v>500</v>
      </c>
      <c r="W24" s="345">
        <f t="shared" si="4"/>
        <v>0</v>
      </c>
      <c r="X24" s="578">
        <f>V24/12/Summary!$C$46</f>
        <v>1.5432098765432098</v>
      </c>
      <c r="Y24" s="104" t="s">
        <v>7</v>
      </c>
      <c r="Z24" s="64"/>
      <c r="AA24" s="691"/>
      <c r="AB24" s="692"/>
      <c r="AC24" s="692"/>
      <c r="AD24" s="692"/>
      <c r="AE24" s="692"/>
      <c r="AF24" s="692"/>
      <c r="AG24" s="692"/>
      <c r="AH24" s="111"/>
    </row>
    <row r="25" spans="1:34" ht="12.75">
      <c r="A25" s="273" t="s">
        <v>162</v>
      </c>
      <c r="B25" s="305">
        <v>150</v>
      </c>
      <c r="C25" s="302">
        <v>42</v>
      </c>
      <c r="D25" s="334">
        <v>75</v>
      </c>
      <c r="E25" s="302">
        <v>68</v>
      </c>
      <c r="F25" s="305">
        <v>75</v>
      </c>
      <c r="G25" s="302">
        <v>26.4</v>
      </c>
      <c r="H25" s="334">
        <v>75</v>
      </c>
      <c r="I25" s="343">
        <v>17.6</v>
      </c>
      <c r="J25" s="334">
        <v>75</v>
      </c>
      <c r="K25" s="440">
        <f>9</f>
        <v>9</v>
      </c>
      <c r="L25" s="334">
        <v>75</v>
      </c>
      <c r="M25" s="440">
        <v>83.29</v>
      </c>
      <c r="N25" s="334">
        <v>75</v>
      </c>
      <c r="O25" s="440">
        <v>185.83</v>
      </c>
      <c r="P25" s="334">
        <v>75</v>
      </c>
      <c r="Q25" s="440">
        <v>21</v>
      </c>
      <c r="R25" s="334">
        <v>75</v>
      </c>
      <c r="S25" s="619">
        <v>29.4</v>
      </c>
      <c r="T25" s="334">
        <v>75</v>
      </c>
      <c r="U25" s="619">
        <v>20</v>
      </c>
      <c r="V25" s="334">
        <v>75</v>
      </c>
      <c r="W25" s="345">
        <f t="shared" si="4"/>
        <v>0</v>
      </c>
      <c r="X25" s="578">
        <f>V25/12/Summary!$C$46</f>
        <v>0.23148148148148148</v>
      </c>
      <c r="Y25" s="108" t="s">
        <v>288</v>
      </c>
      <c r="Z25" s="102"/>
      <c r="AA25" s="687"/>
      <c r="AB25" s="688"/>
      <c r="AC25" s="688"/>
      <c r="AD25" s="688"/>
      <c r="AE25" s="688"/>
      <c r="AF25" s="688"/>
      <c r="AG25" s="688"/>
      <c r="AH25" s="141" t="s">
        <v>147</v>
      </c>
    </row>
    <row r="26" spans="1:34" ht="12.75">
      <c r="A26" s="273" t="s">
        <v>163</v>
      </c>
      <c r="B26" s="314">
        <v>35</v>
      </c>
      <c r="C26" s="315">
        <v>35</v>
      </c>
      <c r="D26" s="342">
        <v>35</v>
      </c>
      <c r="E26" s="315">
        <f>-52+35</f>
        <v>-17</v>
      </c>
      <c r="F26" s="314">
        <v>35</v>
      </c>
      <c r="G26" s="348">
        <v>35</v>
      </c>
      <c r="H26" s="342">
        <v>35</v>
      </c>
      <c r="I26" s="345">
        <v>35</v>
      </c>
      <c r="J26" s="342">
        <v>35</v>
      </c>
      <c r="K26" s="446">
        <v>35</v>
      </c>
      <c r="L26" s="342">
        <v>35</v>
      </c>
      <c r="M26" s="446">
        <v>35</v>
      </c>
      <c r="N26" s="342">
        <v>35</v>
      </c>
      <c r="O26" s="446">
        <v>35</v>
      </c>
      <c r="P26" s="342">
        <v>35</v>
      </c>
      <c r="Q26" s="446">
        <v>35</v>
      </c>
      <c r="R26" s="342">
        <f>35+1300</f>
        <v>1335</v>
      </c>
      <c r="S26" s="625">
        <f>35+851</f>
        <v>886</v>
      </c>
      <c r="T26" s="342">
        <v>1035</v>
      </c>
      <c r="U26" s="625">
        <f>813+35</f>
        <v>848</v>
      </c>
      <c r="V26" s="342">
        <f>820+35</f>
        <v>855</v>
      </c>
      <c r="W26" s="345">
        <f t="shared" si="4"/>
        <v>-180</v>
      </c>
      <c r="X26" s="578">
        <f>V26/12/Summary!$C$46</f>
        <v>2.638888888888889</v>
      </c>
      <c r="Y26" s="108" t="s">
        <v>147</v>
      </c>
      <c r="Z26" s="102"/>
      <c r="AA26" s="689" t="s">
        <v>534</v>
      </c>
      <c r="AB26" s="690"/>
      <c r="AC26" s="690"/>
      <c r="AD26" s="690"/>
      <c r="AE26" s="690"/>
      <c r="AF26" s="690"/>
      <c r="AG26" s="690"/>
      <c r="AH26" s="111" t="s">
        <v>147</v>
      </c>
    </row>
    <row r="27" spans="1:36" ht="12.75">
      <c r="A27" s="273" t="s">
        <v>164</v>
      </c>
      <c r="B27" s="305">
        <v>936</v>
      </c>
      <c r="C27" s="302">
        <v>915</v>
      </c>
      <c r="D27" s="334">
        <f>26*12*3</f>
        <v>936</v>
      </c>
      <c r="E27" s="302">
        <v>957</v>
      </c>
      <c r="F27" s="305">
        <v>936</v>
      </c>
      <c r="G27" s="302">
        <v>924</v>
      </c>
      <c r="H27" s="334">
        <f>26*12*3</f>
        <v>936</v>
      </c>
      <c r="I27" s="343">
        <v>948</v>
      </c>
      <c r="J27" s="334">
        <f>26*12*3</f>
        <v>936</v>
      </c>
      <c r="K27" s="440">
        <v>936</v>
      </c>
      <c r="L27" s="334">
        <f>Summary!$C$46*12*3</f>
        <v>972</v>
      </c>
      <c r="M27" s="440">
        <v>936</v>
      </c>
      <c r="N27" s="334">
        <f>Summary!$C$46*12*3</f>
        <v>972</v>
      </c>
      <c r="O27" s="440">
        <v>936</v>
      </c>
      <c r="P27" s="334">
        <f>Summary!$C$46*12*3</f>
        <v>972</v>
      </c>
      <c r="Q27" s="440">
        <v>935</v>
      </c>
      <c r="R27" s="334">
        <f>Summary!$C$46*12*3</f>
        <v>972</v>
      </c>
      <c r="S27" s="619">
        <v>936.87</v>
      </c>
      <c r="T27" s="334">
        <v>970</v>
      </c>
      <c r="U27" s="619">
        <v>711</v>
      </c>
      <c r="V27" s="334">
        <v>970</v>
      </c>
      <c r="W27" s="345">
        <f t="shared" si="4"/>
        <v>0</v>
      </c>
      <c r="X27" s="578">
        <f>V27/12/Summary!$C$46</f>
        <v>2.993827160493827</v>
      </c>
      <c r="Y27" s="104" t="s">
        <v>157</v>
      </c>
      <c r="Z27" s="64"/>
      <c r="AA27" s="687" t="s">
        <v>289</v>
      </c>
      <c r="AB27" s="688"/>
      <c r="AC27" s="688"/>
      <c r="AD27" s="688"/>
      <c r="AE27" s="688"/>
      <c r="AF27" s="688"/>
      <c r="AG27" s="688"/>
      <c r="AH27" s="141" t="s">
        <v>384</v>
      </c>
      <c r="AJ27" s="151"/>
    </row>
    <row r="28" spans="1:34" ht="13.5" thickBot="1">
      <c r="A28" s="275" t="s">
        <v>3</v>
      </c>
      <c r="B28" s="297">
        <f aca="true" t="shared" si="5" ref="B28:X28">SUM(B22:B27)</f>
        <v>9543</v>
      </c>
      <c r="C28" s="298">
        <f t="shared" si="5"/>
        <v>8833</v>
      </c>
      <c r="D28" s="297">
        <f>SUM(D22:D27)</f>
        <v>9746</v>
      </c>
      <c r="E28" s="298">
        <f>SUM(E22:E27)</f>
        <v>8906</v>
      </c>
      <c r="F28" s="297">
        <f>SUM(F22:F27)</f>
        <v>9746</v>
      </c>
      <c r="G28" s="298">
        <f>SUM(G22:G27)</f>
        <v>8981.43</v>
      </c>
      <c r="H28" s="297">
        <f t="shared" si="5"/>
        <v>9746</v>
      </c>
      <c r="I28" s="298">
        <f t="shared" si="5"/>
        <v>9277.11</v>
      </c>
      <c r="J28" s="297">
        <f t="shared" si="5"/>
        <v>9946</v>
      </c>
      <c r="K28" s="298">
        <f t="shared" si="5"/>
        <v>9296.55</v>
      </c>
      <c r="L28" s="297">
        <f t="shared" si="5"/>
        <v>10082</v>
      </c>
      <c r="M28" s="298">
        <f t="shared" si="5"/>
        <v>10042.850000000002</v>
      </c>
      <c r="N28" s="297">
        <f t="shared" si="5"/>
        <v>10482</v>
      </c>
      <c r="O28" s="298">
        <f t="shared" si="5"/>
        <v>11043.06</v>
      </c>
      <c r="P28" s="297">
        <f t="shared" si="5"/>
        <v>11382</v>
      </c>
      <c r="Q28" s="298">
        <f t="shared" si="5"/>
        <v>11100</v>
      </c>
      <c r="R28" s="297">
        <f>SUM(R22:R27)</f>
        <v>12802</v>
      </c>
      <c r="S28" s="626">
        <f>SUM(S22:S27)</f>
        <v>13261.67</v>
      </c>
      <c r="T28" s="297">
        <f>SUM(T22:T27)</f>
        <v>13180</v>
      </c>
      <c r="U28" s="626">
        <f>SUM(U22:U27)</f>
        <v>6941</v>
      </c>
      <c r="V28" s="297">
        <f t="shared" si="5"/>
        <v>13000</v>
      </c>
      <c r="W28" s="345">
        <f t="shared" si="4"/>
        <v>-180</v>
      </c>
      <c r="X28" s="579">
        <f t="shared" si="5"/>
        <v>40.123456790123456</v>
      </c>
      <c r="Y28" s="398"/>
      <c r="Z28" s="103"/>
      <c r="AA28" s="685"/>
      <c r="AB28" s="686"/>
      <c r="AC28" s="686"/>
      <c r="AD28" s="686"/>
      <c r="AE28" s="686"/>
      <c r="AF28" s="686"/>
      <c r="AG28" s="686"/>
      <c r="AH28" s="159"/>
    </row>
    <row r="29" spans="1:34" ht="12.75">
      <c r="A29" s="213" t="s">
        <v>241</v>
      </c>
      <c r="B29" s="288"/>
      <c r="C29" s="289"/>
      <c r="D29" s="288"/>
      <c r="E29" s="289"/>
      <c r="F29" s="288"/>
      <c r="G29" s="289"/>
      <c r="H29" s="288"/>
      <c r="I29" s="289"/>
      <c r="J29" s="288"/>
      <c r="K29" s="289"/>
      <c r="L29" s="288"/>
      <c r="M29" s="289"/>
      <c r="N29" s="288"/>
      <c r="O29" s="289"/>
      <c r="P29" s="288"/>
      <c r="Q29" s="289"/>
      <c r="R29" s="288"/>
      <c r="S29" s="214"/>
      <c r="T29" s="288"/>
      <c r="U29" s="214"/>
      <c r="V29" s="288"/>
      <c r="W29" s="289"/>
      <c r="X29" s="289"/>
      <c r="Y29" s="214"/>
      <c r="Z29" s="214"/>
      <c r="AA29" s="214"/>
      <c r="AB29" s="214"/>
      <c r="AC29" s="214"/>
      <c r="AD29" s="214"/>
      <c r="AE29" s="214"/>
      <c r="AF29" s="214"/>
      <c r="AG29" s="214"/>
      <c r="AH29" s="160"/>
    </row>
    <row r="30" spans="1:36" ht="12.75">
      <c r="A30" s="273" t="s">
        <v>254</v>
      </c>
      <c r="B30" s="301">
        <v>218</v>
      </c>
      <c r="C30" s="313">
        <v>208</v>
      </c>
      <c r="D30" s="342">
        <v>218</v>
      </c>
      <c r="E30" s="313">
        <v>100</v>
      </c>
      <c r="F30" s="301">
        <v>218</v>
      </c>
      <c r="G30" s="313">
        <v>238</v>
      </c>
      <c r="H30" s="342">
        <v>218</v>
      </c>
      <c r="I30" s="345">
        <v>88</v>
      </c>
      <c r="J30" s="342">
        <v>250</v>
      </c>
      <c r="K30" s="446">
        <v>147.8</v>
      </c>
      <c r="L30" s="342">
        <v>250</v>
      </c>
      <c r="M30" s="446">
        <v>221.78</v>
      </c>
      <c r="N30" s="342">
        <v>250</v>
      </c>
      <c r="O30" s="446">
        <v>0</v>
      </c>
      <c r="P30" s="342">
        <v>250</v>
      </c>
      <c r="Q30" s="446">
        <v>0</v>
      </c>
      <c r="R30" s="342">
        <v>250</v>
      </c>
      <c r="S30" s="625">
        <v>387.1</v>
      </c>
      <c r="T30" s="342">
        <v>250</v>
      </c>
      <c r="U30" s="625">
        <v>31</v>
      </c>
      <c r="V30" s="342">
        <v>250</v>
      </c>
      <c r="W30" s="345">
        <f>V30-T30</f>
        <v>0</v>
      </c>
      <c r="X30" s="581">
        <f>V30/12/Summary!$C$46</f>
        <v>0.7716049382716049</v>
      </c>
      <c r="Y30" s="104" t="s">
        <v>147</v>
      </c>
      <c r="Z30" s="64"/>
      <c r="AA30" s="693" t="s">
        <v>253</v>
      </c>
      <c r="AB30" s="692"/>
      <c r="AC30" s="692"/>
      <c r="AD30" s="692"/>
      <c r="AE30" s="692"/>
      <c r="AF30" s="692"/>
      <c r="AG30" s="692"/>
      <c r="AH30" s="111" t="s">
        <v>267</v>
      </c>
      <c r="AI30" s="6"/>
      <c r="AJ30" s="7"/>
    </row>
    <row r="31" spans="1:34" ht="12.75" customHeight="1">
      <c r="A31" s="274" t="s">
        <v>199</v>
      </c>
      <c r="B31" s="305">
        <v>324</v>
      </c>
      <c r="C31" s="302">
        <v>0</v>
      </c>
      <c r="D31" s="334">
        <v>324</v>
      </c>
      <c r="E31" s="343">
        <v>324</v>
      </c>
      <c r="F31" s="334">
        <v>100</v>
      </c>
      <c r="G31" s="343">
        <v>0</v>
      </c>
      <c r="H31" s="334">
        <v>100</v>
      </c>
      <c r="I31" s="343">
        <v>100</v>
      </c>
      <c r="J31" s="334">
        <v>100</v>
      </c>
      <c r="K31" s="440">
        <v>100</v>
      </c>
      <c r="L31" s="334">
        <v>100</v>
      </c>
      <c r="M31" s="440">
        <v>100</v>
      </c>
      <c r="N31" s="334">
        <v>100</v>
      </c>
      <c r="O31" s="440">
        <v>100</v>
      </c>
      <c r="P31" s="334">
        <v>100</v>
      </c>
      <c r="Q31" s="440">
        <v>100</v>
      </c>
      <c r="R31" s="334">
        <v>100</v>
      </c>
      <c r="S31" s="619">
        <v>100</v>
      </c>
      <c r="T31" s="334">
        <v>100</v>
      </c>
      <c r="U31" s="619">
        <v>0</v>
      </c>
      <c r="V31" s="334">
        <v>100</v>
      </c>
      <c r="W31" s="345">
        <f>V31-T31</f>
        <v>0</v>
      </c>
      <c r="X31" s="578">
        <f>V31/12/Summary!$C$46</f>
        <v>0.308641975308642</v>
      </c>
      <c r="Y31" s="104" t="s">
        <v>149</v>
      </c>
      <c r="Z31" s="64"/>
      <c r="AA31" s="693" t="s">
        <v>300</v>
      </c>
      <c r="AB31" s="692"/>
      <c r="AC31" s="692"/>
      <c r="AD31" s="692"/>
      <c r="AE31" s="692"/>
      <c r="AF31" s="692"/>
      <c r="AG31" s="692"/>
      <c r="AH31" s="141"/>
    </row>
    <row r="32" spans="1:42" ht="12" customHeight="1">
      <c r="A32" s="278" t="s">
        <v>243</v>
      </c>
      <c r="B32" s="305">
        <v>100</v>
      </c>
      <c r="C32" s="302">
        <v>0</v>
      </c>
      <c r="D32" s="334">
        <v>0</v>
      </c>
      <c r="E32" s="302">
        <v>0</v>
      </c>
      <c r="F32" s="305">
        <v>0</v>
      </c>
      <c r="G32" s="302">
        <v>0</v>
      </c>
      <c r="H32" s="334">
        <v>0</v>
      </c>
      <c r="I32" s="343">
        <v>0</v>
      </c>
      <c r="J32" s="334">
        <v>0</v>
      </c>
      <c r="K32" s="440">
        <v>0</v>
      </c>
      <c r="L32" s="334">
        <v>0</v>
      </c>
      <c r="M32" s="440">
        <v>0</v>
      </c>
      <c r="N32" s="334">
        <v>0</v>
      </c>
      <c r="O32" s="440">
        <v>0</v>
      </c>
      <c r="P32" s="334">
        <v>0</v>
      </c>
      <c r="Q32" s="440">
        <v>0</v>
      </c>
      <c r="R32" s="334">
        <v>0</v>
      </c>
      <c r="S32" s="619">
        <v>0</v>
      </c>
      <c r="T32" s="334">
        <v>0</v>
      </c>
      <c r="U32" s="619">
        <v>0</v>
      </c>
      <c r="V32" s="334">
        <v>0</v>
      </c>
      <c r="W32" s="345">
        <f>V32-T32</f>
        <v>0</v>
      </c>
      <c r="X32" s="578">
        <f>V32/12/Summary!$C$46</f>
        <v>0</v>
      </c>
      <c r="Y32" s="396" t="s">
        <v>149</v>
      </c>
      <c r="Z32" s="108"/>
      <c r="AA32" s="697" t="s">
        <v>302</v>
      </c>
      <c r="AB32" s="698"/>
      <c r="AC32" s="698"/>
      <c r="AD32" s="698"/>
      <c r="AE32" s="698"/>
      <c r="AF32" s="698"/>
      <c r="AG32" s="698"/>
      <c r="AH32" s="156"/>
      <c r="AI32" s="559"/>
      <c r="AJ32" s="151"/>
      <c r="AK32" s="151"/>
      <c r="AL32" s="151"/>
      <c r="AM32" s="151"/>
      <c r="AN32" s="151"/>
      <c r="AO32" s="151"/>
      <c r="AP32" s="151"/>
    </row>
    <row r="33" spans="1:42" ht="12.75" customHeight="1">
      <c r="A33" s="100" t="s">
        <v>245</v>
      </c>
      <c r="B33" s="305">
        <v>300</v>
      </c>
      <c r="C33" s="302">
        <v>0</v>
      </c>
      <c r="D33" s="344">
        <v>100</v>
      </c>
      <c r="E33" s="302">
        <v>0</v>
      </c>
      <c r="F33" s="293">
        <v>100</v>
      </c>
      <c r="G33" s="349">
        <v>28.98</v>
      </c>
      <c r="H33" s="344">
        <v>100</v>
      </c>
      <c r="I33" s="350">
        <v>0</v>
      </c>
      <c r="J33" s="344">
        <v>100</v>
      </c>
      <c r="K33" s="336">
        <v>0</v>
      </c>
      <c r="L33" s="344">
        <v>100</v>
      </c>
      <c r="M33" s="336">
        <v>0</v>
      </c>
      <c r="N33" s="344">
        <v>100</v>
      </c>
      <c r="O33" s="336">
        <v>100</v>
      </c>
      <c r="P33" s="344">
        <v>100</v>
      </c>
      <c r="Q33" s="336">
        <v>0</v>
      </c>
      <c r="R33" s="344">
        <v>100</v>
      </c>
      <c r="S33" s="90">
        <v>40.79</v>
      </c>
      <c r="T33" s="344">
        <v>100</v>
      </c>
      <c r="U33" s="90">
        <v>0</v>
      </c>
      <c r="V33" s="344">
        <v>100</v>
      </c>
      <c r="W33" s="345">
        <f>V33-T33</f>
        <v>0</v>
      </c>
      <c r="X33" s="578">
        <f>V33/12/Summary!$C$46</f>
        <v>0.308641975308642</v>
      </c>
      <c r="Y33" s="104" t="s">
        <v>149</v>
      </c>
      <c r="Z33" s="64" t="s">
        <v>160</v>
      </c>
      <c r="AA33" s="694"/>
      <c r="AB33" s="695"/>
      <c r="AC33" s="695"/>
      <c r="AD33" s="695"/>
      <c r="AE33" s="695"/>
      <c r="AF33" s="695"/>
      <c r="AG33" s="666"/>
      <c r="AH33" s="141"/>
      <c r="AI33" s="559"/>
      <c r="AJ33" s="151"/>
      <c r="AK33" s="151"/>
      <c r="AL33" s="151"/>
      <c r="AM33" s="151"/>
      <c r="AN33" s="151"/>
      <c r="AO33" s="151"/>
      <c r="AP33" s="151"/>
    </row>
    <row r="34" spans="1:42" ht="13.5" thickBot="1">
      <c r="A34" s="275" t="s">
        <v>3</v>
      </c>
      <c r="B34" s="316">
        <f aca="true" t="shared" si="6" ref="B34:X34">SUM(B30:B33)</f>
        <v>942</v>
      </c>
      <c r="C34" s="317">
        <f t="shared" si="6"/>
        <v>208</v>
      </c>
      <c r="D34" s="297">
        <f>SUM(D30:D33)</f>
        <v>642</v>
      </c>
      <c r="E34" s="298">
        <f>SUM(E30:E33)</f>
        <v>424</v>
      </c>
      <c r="F34" s="297">
        <f>SUM(F30:F33)</f>
        <v>418</v>
      </c>
      <c r="G34" s="298">
        <f>SUM(G30:G33)</f>
        <v>266.98</v>
      </c>
      <c r="H34" s="297">
        <f t="shared" si="6"/>
        <v>418</v>
      </c>
      <c r="I34" s="298">
        <f t="shared" si="6"/>
        <v>188</v>
      </c>
      <c r="J34" s="297">
        <f t="shared" si="6"/>
        <v>450</v>
      </c>
      <c r="K34" s="298">
        <f t="shared" si="6"/>
        <v>247.8</v>
      </c>
      <c r="L34" s="297">
        <f t="shared" si="6"/>
        <v>450</v>
      </c>
      <c r="M34" s="298">
        <f t="shared" si="6"/>
        <v>321.78</v>
      </c>
      <c r="N34" s="297">
        <f t="shared" si="6"/>
        <v>450</v>
      </c>
      <c r="O34" s="298">
        <f t="shared" si="6"/>
        <v>200</v>
      </c>
      <c r="P34" s="297">
        <f t="shared" si="6"/>
        <v>450</v>
      </c>
      <c r="Q34" s="298">
        <f t="shared" si="6"/>
        <v>100</v>
      </c>
      <c r="R34" s="297">
        <f>SUM(R30:R33)</f>
        <v>450</v>
      </c>
      <c r="S34" s="626">
        <f>SUM(S30:S33)</f>
        <v>527.89</v>
      </c>
      <c r="T34" s="297">
        <f>SUM(T30:T33)</f>
        <v>450</v>
      </c>
      <c r="U34" s="626">
        <f>SUM(U30:U33)</f>
        <v>31</v>
      </c>
      <c r="V34" s="297">
        <f t="shared" si="6"/>
        <v>450</v>
      </c>
      <c r="W34" s="345">
        <f>V34-T34</f>
        <v>0</v>
      </c>
      <c r="X34" s="579">
        <f t="shared" si="6"/>
        <v>1.3888888888888888</v>
      </c>
      <c r="Y34" s="398"/>
      <c r="Z34" s="103"/>
      <c r="AA34" s="685"/>
      <c r="AB34" s="686"/>
      <c r="AC34" s="686"/>
      <c r="AD34" s="686"/>
      <c r="AE34" s="686"/>
      <c r="AF34" s="686"/>
      <c r="AG34" s="686"/>
      <c r="AH34" s="159"/>
      <c r="AI34" s="559"/>
      <c r="AJ34" s="151"/>
      <c r="AK34" s="151"/>
      <c r="AL34" s="151"/>
      <c r="AM34" s="151"/>
      <c r="AN34" s="151"/>
      <c r="AO34" s="151"/>
      <c r="AP34" s="151"/>
    </row>
    <row r="35" spans="1:42" ht="12.75">
      <c r="A35" s="213" t="s">
        <v>268</v>
      </c>
      <c r="B35" s="288"/>
      <c r="C35" s="289"/>
      <c r="D35" s="288"/>
      <c r="E35" s="289"/>
      <c r="F35" s="288"/>
      <c r="G35" s="289"/>
      <c r="H35" s="288"/>
      <c r="I35" s="289"/>
      <c r="J35" s="288"/>
      <c r="K35" s="289"/>
      <c r="L35" s="288"/>
      <c r="M35" s="289"/>
      <c r="N35" s="288"/>
      <c r="O35" s="289"/>
      <c r="P35" s="288"/>
      <c r="Q35" s="289"/>
      <c r="R35" s="288"/>
      <c r="S35" s="214"/>
      <c r="T35" s="288"/>
      <c r="U35" s="214"/>
      <c r="V35" s="288"/>
      <c r="W35" s="289"/>
      <c r="X35" s="289"/>
      <c r="Y35" s="214"/>
      <c r="Z35" s="214"/>
      <c r="AA35" s="214"/>
      <c r="AB35" s="214"/>
      <c r="AC35" s="214"/>
      <c r="AD35" s="214"/>
      <c r="AE35" s="214"/>
      <c r="AF35" s="214"/>
      <c r="AG35" s="214"/>
      <c r="AH35" s="160"/>
      <c r="AI35" s="151"/>
      <c r="AJ35" s="151"/>
      <c r="AK35" s="151"/>
      <c r="AL35" s="151"/>
      <c r="AM35" s="151"/>
      <c r="AN35" s="151"/>
      <c r="AO35" s="151"/>
      <c r="AP35" s="151"/>
    </row>
    <row r="36" spans="1:42" ht="12.75">
      <c r="A36" s="273" t="s">
        <v>303</v>
      </c>
      <c r="B36" s="301">
        <v>0</v>
      </c>
      <c r="C36" s="313">
        <v>0</v>
      </c>
      <c r="D36" s="342">
        <v>250</v>
      </c>
      <c r="E36" s="345">
        <v>0</v>
      </c>
      <c r="F36" s="342">
        <v>250</v>
      </c>
      <c r="G36" s="345">
        <v>229.33</v>
      </c>
      <c r="H36" s="342">
        <v>300</v>
      </c>
      <c r="I36" s="345">
        <v>253.51</v>
      </c>
      <c r="J36" s="342">
        <v>300</v>
      </c>
      <c r="K36" s="446">
        <v>300</v>
      </c>
      <c r="L36" s="342">
        <v>300</v>
      </c>
      <c r="M36" s="446">
        <v>300</v>
      </c>
      <c r="N36" s="342">
        <v>300</v>
      </c>
      <c r="O36" s="446">
        <v>46.77</v>
      </c>
      <c r="P36" s="342">
        <v>300</v>
      </c>
      <c r="Q36" s="446">
        <v>0</v>
      </c>
      <c r="R36" s="342">
        <v>300</v>
      </c>
      <c r="S36" s="625">
        <v>343.86</v>
      </c>
      <c r="T36" s="342">
        <v>300</v>
      </c>
      <c r="U36" s="625">
        <v>62</v>
      </c>
      <c r="V36" s="342">
        <v>300</v>
      </c>
      <c r="W36" s="345">
        <f>V36-T36</f>
        <v>0</v>
      </c>
      <c r="X36" s="578">
        <f>V36/12/Summary!$C$46</f>
        <v>0.9259259259259259</v>
      </c>
      <c r="Y36" s="104" t="s">
        <v>269</v>
      </c>
      <c r="Z36" s="64" t="s">
        <v>160</v>
      </c>
      <c r="AA36" s="693" t="s">
        <v>270</v>
      </c>
      <c r="AB36" s="692"/>
      <c r="AC36" s="692"/>
      <c r="AD36" s="692"/>
      <c r="AE36" s="692"/>
      <c r="AF36" s="692"/>
      <c r="AG36" s="692"/>
      <c r="AH36" s="111" t="s">
        <v>271</v>
      </c>
      <c r="AI36" s="264"/>
      <c r="AJ36" s="560"/>
      <c r="AK36" s="151"/>
      <c r="AL36" s="151"/>
      <c r="AM36" s="151"/>
      <c r="AN36" s="151"/>
      <c r="AO36" s="151"/>
      <c r="AP36" s="151"/>
    </row>
    <row r="37" spans="1:42" ht="12.75" customHeight="1">
      <c r="A37" s="274" t="s">
        <v>272</v>
      </c>
      <c r="B37" s="305">
        <v>0</v>
      </c>
      <c r="C37" s="302">
        <v>0</v>
      </c>
      <c r="D37" s="334">
        <v>150</v>
      </c>
      <c r="E37" s="302">
        <v>0</v>
      </c>
      <c r="F37" s="305">
        <v>350</v>
      </c>
      <c r="G37" s="302">
        <v>0</v>
      </c>
      <c r="H37" s="334">
        <f>300+(3*120)</f>
        <v>660</v>
      </c>
      <c r="I37" s="343">
        <v>166.4</v>
      </c>
      <c r="J37" s="334">
        <v>350</v>
      </c>
      <c r="K37" s="440">
        <v>350</v>
      </c>
      <c r="L37" s="334">
        <v>350</v>
      </c>
      <c r="M37" s="440">
        <v>513.81</v>
      </c>
      <c r="N37" s="334">
        <v>350</v>
      </c>
      <c r="O37" s="440">
        <v>303.39</v>
      </c>
      <c r="P37" s="334">
        <v>350</v>
      </c>
      <c r="Q37" s="440">
        <v>261</v>
      </c>
      <c r="R37" s="334">
        <v>350</v>
      </c>
      <c r="S37" s="619">
        <v>323.79</v>
      </c>
      <c r="T37" s="334">
        <v>350</v>
      </c>
      <c r="U37" s="619">
        <v>95</v>
      </c>
      <c r="V37" s="334">
        <v>350</v>
      </c>
      <c r="W37" s="345">
        <f>V37-T37</f>
        <v>0</v>
      </c>
      <c r="X37" s="578">
        <f>V37/12/Summary!$C$46</f>
        <v>1.080246913580247</v>
      </c>
      <c r="Y37" s="104" t="s">
        <v>304</v>
      </c>
      <c r="Z37" s="64" t="s">
        <v>160</v>
      </c>
      <c r="AA37" s="693" t="s">
        <v>344</v>
      </c>
      <c r="AB37" s="692"/>
      <c r="AC37" s="692"/>
      <c r="AD37" s="692"/>
      <c r="AE37" s="692"/>
      <c r="AF37" s="692"/>
      <c r="AG37" s="692"/>
      <c r="AH37" s="141" t="s">
        <v>301</v>
      </c>
      <c r="AI37" s="151"/>
      <c r="AJ37" s="151"/>
      <c r="AK37" s="151"/>
      <c r="AL37" s="151"/>
      <c r="AM37" s="151"/>
      <c r="AN37" s="151"/>
      <c r="AO37" s="151"/>
      <c r="AP37" s="151"/>
    </row>
    <row r="38" spans="1:42" ht="13.5" thickBot="1">
      <c r="A38" s="275" t="s">
        <v>3</v>
      </c>
      <c r="B38" s="316">
        <f aca="true" t="shared" si="7" ref="B38:X38">SUM(B36:B37)</f>
        <v>0</v>
      </c>
      <c r="C38" s="317">
        <f t="shared" si="7"/>
        <v>0</v>
      </c>
      <c r="D38" s="297">
        <f>SUM(D36:D37)</f>
        <v>400</v>
      </c>
      <c r="E38" s="298">
        <f>SUM(E36:E37)</f>
        <v>0</v>
      </c>
      <c r="F38" s="297">
        <f>SUM(F36:F37)</f>
        <v>600</v>
      </c>
      <c r="G38" s="298">
        <f>SUM(G36:G37)</f>
        <v>229.33</v>
      </c>
      <c r="H38" s="297">
        <f t="shared" si="7"/>
        <v>960</v>
      </c>
      <c r="I38" s="298">
        <f t="shared" si="7"/>
        <v>419.90999999999997</v>
      </c>
      <c r="J38" s="297">
        <f t="shared" si="7"/>
        <v>650</v>
      </c>
      <c r="K38" s="298">
        <f t="shared" si="7"/>
        <v>650</v>
      </c>
      <c r="L38" s="297">
        <f t="shared" si="7"/>
        <v>650</v>
      </c>
      <c r="M38" s="298">
        <f t="shared" si="7"/>
        <v>813.81</v>
      </c>
      <c r="N38" s="297">
        <f t="shared" si="7"/>
        <v>650</v>
      </c>
      <c r="O38" s="298">
        <f t="shared" si="7"/>
        <v>350.15999999999997</v>
      </c>
      <c r="P38" s="297">
        <f t="shared" si="7"/>
        <v>650</v>
      </c>
      <c r="Q38" s="298">
        <f t="shared" si="7"/>
        <v>261</v>
      </c>
      <c r="R38" s="297">
        <f>SUM(R36:R37)</f>
        <v>650</v>
      </c>
      <c r="S38" s="626">
        <f>SUM(S36:S37)</f>
        <v>667.6500000000001</v>
      </c>
      <c r="T38" s="297">
        <f>SUM(T36:T37)</f>
        <v>650</v>
      </c>
      <c r="U38" s="626">
        <f>SUM(U36:U37)</f>
        <v>157</v>
      </c>
      <c r="V38" s="297">
        <f t="shared" si="7"/>
        <v>650</v>
      </c>
      <c r="W38" s="345">
        <f>V38-T38</f>
        <v>0</v>
      </c>
      <c r="X38" s="579">
        <f t="shared" si="7"/>
        <v>2.006172839506173</v>
      </c>
      <c r="Y38" s="398"/>
      <c r="Z38" s="103"/>
      <c r="AA38" s="685"/>
      <c r="AB38" s="686"/>
      <c r="AC38" s="686"/>
      <c r="AD38" s="686"/>
      <c r="AE38" s="686"/>
      <c r="AF38" s="686"/>
      <c r="AG38" s="686"/>
      <c r="AH38" s="159"/>
      <c r="AI38" s="151"/>
      <c r="AJ38" s="151"/>
      <c r="AK38" s="151"/>
      <c r="AL38" s="151"/>
      <c r="AM38" s="151"/>
      <c r="AN38" s="151"/>
      <c r="AO38" s="151"/>
      <c r="AP38" s="151"/>
    </row>
    <row r="39" spans="1:42" ht="12.75">
      <c r="A39" s="213" t="s">
        <v>155</v>
      </c>
      <c r="B39" s="288"/>
      <c r="C39" s="289"/>
      <c r="D39" s="288"/>
      <c r="E39" s="289"/>
      <c r="F39" s="288"/>
      <c r="G39" s="289"/>
      <c r="H39" s="288"/>
      <c r="I39" s="289"/>
      <c r="J39" s="288"/>
      <c r="K39" s="289"/>
      <c r="L39" s="288"/>
      <c r="M39" s="289"/>
      <c r="N39" s="288"/>
      <c r="O39" s="289"/>
      <c r="P39" s="288"/>
      <c r="Q39" s="289"/>
      <c r="R39" s="288"/>
      <c r="S39" s="214"/>
      <c r="T39" s="288"/>
      <c r="U39" s="214"/>
      <c r="V39" s="288"/>
      <c r="W39" s="289"/>
      <c r="X39" s="289"/>
      <c r="Y39" s="214"/>
      <c r="Z39" s="214"/>
      <c r="AA39" s="214"/>
      <c r="AB39" s="214"/>
      <c r="AC39" s="214"/>
      <c r="AD39" s="214"/>
      <c r="AE39" s="214"/>
      <c r="AF39" s="214"/>
      <c r="AG39" s="214"/>
      <c r="AH39" s="161"/>
      <c r="AI39" s="151"/>
      <c r="AJ39" s="151"/>
      <c r="AK39" s="151"/>
      <c r="AL39" s="151"/>
      <c r="AM39" s="151"/>
      <c r="AN39" s="151"/>
      <c r="AO39" s="151"/>
      <c r="AP39" s="151"/>
    </row>
    <row r="40" spans="1:42" ht="12" customHeight="1">
      <c r="A40" s="278" t="s">
        <v>166</v>
      </c>
      <c r="B40" s="305">
        <v>600</v>
      </c>
      <c r="C40" s="302">
        <v>339</v>
      </c>
      <c r="D40" s="344">
        <v>600</v>
      </c>
      <c r="E40" s="302">
        <v>0</v>
      </c>
      <c r="F40" s="293">
        <v>400</v>
      </c>
      <c r="G40" s="350">
        <v>0</v>
      </c>
      <c r="H40" s="344">
        <v>0</v>
      </c>
      <c r="I40" s="350">
        <v>0</v>
      </c>
      <c r="J40" s="344">
        <v>0</v>
      </c>
      <c r="K40" s="336">
        <v>0</v>
      </c>
      <c r="L40" s="344">
        <v>0</v>
      </c>
      <c r="M40" s="336">
        <v>0</v>
      </c>
      <c r="N40" s="344">
        <v>0</v>
      </c>
      <c r="O40" s="336">
        <v>0</v>
      </c>
      <c r="P40" s="344">
        <v>0</v>
      </c>
      <c r="Q40" s="336">
        <v>0</v>
      </c>
      <c r="R40" s="344">
        <v>0</v>
      </c>
      <c r="S40" s="90">
        <v>0</v>
      </c>
      <c r="T40" s="344">
        <v>0</v>
      </c>
      <c r="U40" s="90">
        <v>0</v>
      </c>
      <c r="V40" s="344">
        <v>0</v>
      </c>
      <c r="W40" s="345">
        <f>V40-T40</f>
        <v>0</v>
      </c>
      <c r="X40" s="578">
        <f>V40/12/Summary!$C$46</f>
        <v>0</v>
      </c>
      <c r="Y40" s="396" t="s">
        <v>188</v>
      </c>
      <c r="Z40" s="108"/>
      <c r="AA40" s="697"/>
      <c r="AB40" s="698"/>
      <c r="AC40" s="698"/>
      <c r="AD40" s="698"/>
      <c r="AE40" s="698"/>
      <c r="AF40" s="698"/>
      <c r="AG40" s="698"/>
      <c r="AH40" s="156"/>
      <c r="AI40" s="151"/>
      <c r="AJ40" s="151"/>
      <c r="AK40" s="151"/>
      <c r="AL40" s="151"/>
      <c r="AM40" s="151"/>
      <c r="AN40" s="151"/>
      <c r="AO40" s="151"/>
      <c r="AP40" s="151"/>
    </row>
    <row r="41" spans="1:42" ht="12.75">
      <c r="A41" s="276" t="s">
        <v>400</v>
      </c>
      <c r="B41" s="305">
        <v>300</v>
      </c>
      <c r="C41" s="302">
        <v>250</v>
      </c>
      <c r="D41" s="334">
        <v>300</v>
      </c>
      <c r="E41" s="302">
        <v>0</v>
      </c>
      <c r="F41" s="305">
        <v>300</v>
      </c>
      <c r="G41" s="302">
        <v>99.71</v>
      </c>
      <c r="H41" s="334">
        <v>300</v>
      </c>
      <c r="I41" s="343">
        <v>242.98</v>
      </c>
      <c r="J41" s="334">
        <v>300</v>
      </c>
      <c r="K41" s="440">
        <v>0</v>
      </c>
      <c r="L41" s="334">
        <v>0</v>
      </c>
      <c r="M41" s="440"/>
      <c r="N41" s="334">
        <v>0</v>
      </c>
      <c r="O41" s="440">
        <v>0</v>
      </c>
      <c r="P41" s="334">
        <v>0</v>
      </c>
      <c r="Q41" s="440">
        <v>0</v>
      </c>
      <c r="R41" s="334">
        <v>0</v>
      </c>
      <c r="S41" s="619">
        <v>0</v>
      </c>
      <c r="T41" s="334">
        <v>0</v>
      </c>
      <c r="U41" s="619">
        <v>0</v>
      </c>
      <c r="V41" s="334">
        <v>0</v>
      </c>
      <c r="W41" s="345">
        <f>V41-T41</f>
        <v>0</v>
      </c>
      <c r="X41" s="578">
        <f>V41/12/Summary!$C$46</f>
        <v>0</v>
      </c>
      <c r="Y41" s="396" t="s">
        <v>7</v>
      </c>
      <c r="Z41" s="104" t="s">
        <v>160</v>
      </c>
      <c r="AA41" s="693" t="s">
        <v>401</v>
      </c>
      <c r="AB41" s="692"/>
      <c r="AC41" s="692"/>
      <c r="AD41" s="692"/>
      <c r="AE41" s="692"/>
      <c r="AF41" s="692"/>
      <c r="AG41" s="692"/>
      <c r="AH41" s="157"/>
      <c r="AI41" s="151"/>
      <c r="AJ41" s="151"/>
      <c r="AK41" s="151"/>
      <c r="AL41" s="151"/>
      <c r="AM41" s="151"/>
      <c r="AN41" s="151"/>
      <c r="AO41" s="151"/>
      <c r="AP41" s="151"/>
    </row>
    <row r="42" spans="1:42" ht="12.75">
      <c r="A42" s="123" t="s">
        <v>399</v>
      </c>
      <c r="B42" s="454"/>
      <c r="C42" s="455"/>
      <c r="D42" s="335"/>
      <c r="E42" s="455"/>
      <c r="F42" s="454"/>
      <c r="G42" s="455"/>
      <c r="H42" s="335"/>
      <c r="I42" s="456"/>
      <c r="J42" s="335"/>
      <c r="K42" s="456"/>
      <c r="L42" s="335">
        <v>300</v>
      </c>
      <c r="M42" s="456">
        <v>245.83</v>
      </c>
      <c r="N42" s="335">
        <v>300</v>
      </c>
      <c r="O42" s="456">
        <v>0</v>
      </c>
      <c r="P42" s="335">
        <v>300</v>
      </c>
      <c r="Q42" s="456">
        <v>55</v>
      </c>
      <c r="R42" s="335">
        <v>200</v>
      </c>
      <c r="S42" s="627">
        <v>0</v>
      </c>
      <c r="T42" s="335">
        <v>200</v>
      </c>
      <c r="U42" s="682">
        <v>16</v>
      </c>
      <c r="V42" s="335">
        <v>200</v>
      </c>
      <c r="W42" s="345">
        <f>V42-T42</f>
        <v>0</v>
      </c>
      <c r="X42" s="578">
        <f>V42/12/Summary!$C$46</f>
        <v>0.617283950617284</v>
      </c>
      <c r="Y42" s="457" t="s">
        <v>7</v>
      </c>
      <c r="Z42" s="72" t="s">
        <v>160</v>
      </c>
      <c r="AA42" s="669" t="s">
        <v>508</v>
      </c>
      <c r="AB42" s="668"/>
      <c r="AC42" s="668"/>
      <c r="AD42" s="668"/>
      <c r="AE42" s="668"/>
      <c r="AF42" s="668"/>
      <c r="AG42" s="668"/>
      <c r="AH42" s="458"/>
      <c r="AI42" s="151"/>
      <c r="AJ42" s="151"/>
      <c r="AK42" s="151"/>
      <c r="AL42" s="151"/>
      <c r="AM42" s="151"/>
      <c r="AN42" s="151"/>
      <c r="AO42" s="151"/>
      <c r="AP42" s="151"/>
    </row>
    <row r="43" spans="1:42" ht="13.5" thickBot="1">
      <c r="A43" s="280" t="s">
        <v>3</v>
      </c>
      <c r="B43" s="318">
        <f aca="true" t="shared" si="8" ref="B43:K43">SUM(B40:B41)</f>
        <v>900</v>
      </c>
      <c r="C43" s="319">
        <f t="shared" si="8"/>
        <v>589</v>
      </c>
      <c r="D43" s="318">
        <f t="shared" si="8"/>
        <v>900</v>
      </c>
      <c r="E43" s="346">
        <f t="shared" si="8"/>
        <v>0</v>
      </c>
      <c r="F43" s="318">
        <f t="shared" si="8"/>
        <v>700</v>
      </c>
      <c r="G43" s="346">
        <f t="shared" si="8"/>
        <v>99.71</v>
      </c>
      <c r="H43" s="318">
        <f t="shared" si="8"/>
        <v>300</v>
      </c>
      <c r="I43" s="346">
        <f t="shared" si="8"/>
        <v>242.98</v>
      </c>
      <c r="J43" s="318">
        <f t="shared" si="8"/>
        <v>300</v>
      </c>
      <c r="K43" s="432">
        <f t="shared" si="8"/>
        <v>0</v>
      </c>
      <c r="L43" s="318">
        <f aca="true" t="shared" si="9" ref="L43:V43">SUM(L40:L42)</f>
        <v>300</v>
      </c>
      <c r="M43" s="432">
        <f t="shared" si="9"/>
        <v>245.83</v>
      </c>
      <c r="N43" s="318">
        <f t="shared" si="9"/>
        <v>300</v>
      </c>
      <c r="O43" s="432">
        <f t="shared" si="9"/>
        <v>0</v>
      </c>
      <c r="P43" s="318">
        <f t="shared" si="9"/>
        <v>300</v>
      </c>
      <c r="Q43" s="432">
        <f t="shared" si="9"/>
        <v>55</v>
      </c>
      <c r="R43" s="318">
        <f>SUM(R40:R42)</f>
        <v>200</v>
      </c>
      <c r="S43" s="628">
        <f>SUM(S40:S42)</f>
        <v>0</v>
      </c>
      <c r="T43" s="318">
        <f>SUM(T40:T42)</f>
        <v>200</v>
      </c>
      <c r="U43" s="628">
        <f>SUM(U40:U42)</f>
        <v>16</v>
      </c>
      <c r="V43" s="318">
        <f t="shared" si="9"/>
        <v>200</v>
      </c>
      <c r="W43" s="591">
        <f>V43-T43</f>
        <v>0</v>
      </c>
      <c r="X43" s="579">
        <f>SUM(X40:X42)</f>
        <v>0.617283950617284</v>
      </c>
      <c r="Y43" s="103"/>
      <c r="Z43" s="67"/>
      <c r="AA43" s="712" t="s">
        <v>5</v>
      </c>
      <c r="AB43" s="713"/>
      <c r="AC43" s="713"/>
      <c r="AD43" s="713"/>
      <c r="AE43" s="713"/>
      <c r="AF43" s="713"/>
      <c r="AG43" s="713"/>
      <c r="AH43" s="159"/>
      <c r="AI43" s="151"/>
      <c r="AJ43" s="151"/>
      <c r="AK43" s="151"/>
      <c r="AL43" s="151"/>
      <c r="AM43" s="151"/>
      <c r="AN43" s="151"/>
      <c r="AO43" s="151"/>
      <c r="AP43" s="151"/>
    </row>
    <row r="44" spans="1:42" ht="13.5" thickBot="1">
      <c r="A44" s="69"/>
      <c r="B44" s="320"/>
      <c r="C44" s="321"/>
      <c r="D44" s="320"/>
      <c r="E44" s="321"/>
      <c r="F44" s="320"/>
      <c r="G44" s="321"/>
      <c r="H44" s="352"/>
      <c r="I44" s="353"/>
      <c r="J44" s="352"/>
      <c r="K44" s="353"/>
      <c r="L44" s="352"/>
      <c r="M44" s="353"/>
      <c r="N44" s="352"/>
      <c r="O44" s="353"/>
      <c r="P44" s="352"/>
      <c r="Q44" s="353"/>
      <c r="R44" s="352"/>
      <c r="S44" s="629"/>
      <c r="T44" s="352"/>
      <c r="U44" s="629"/>
      <c r="V44" s="352"/>
      <c r="W44" s="353"/>
      <c r="X44" s="404"/>
      <c r="Y44" s="70"/>
      <c r="Z44" s="70"/>
      <c r="AA44" s="696"/>
      <c r="AB44" s="696"/>
      <c r="AC44" s="696"/>
      <c r="AD44" s="696"/>
      <c r="AE44" s="696"/>
      <c r="AF44" s="696"/>
      <c r="AG44" s="696"/>
      <c r="AH44" s="160"/>
      <c r="AI44" s="151"/>
      <c r="AJ44" s="151"/>
      <c r="AK44" s="151"/>
      <c r="AL44" s="151"/>
      <c r="AM44" s="151"/>
      <c r="AN44" s="151"/>
      <c r="AO44" s="151"/>
      <c r="AP44" s="151"/>
    </row>
    <row r="45" spans="1:34" ht="13.5" thickBot="1">
      <c r="A45" s="281" t="s">
        <v>213</v>
      </c>
      <c r="B45" s="322">
        <f aca="true" t="shared" si="10" ref="B45:L45">SUM(B20+B28+B34+B38+B43+B11)</f>
        <v>26375</v>
      </c>
      <c r="C45" s="323">
        <f t="shared" si="10"/>
        <v>25243</v>
      </c>
      <c r="D45" s="322">
        <f t="shared" si="10"/>
        <v>29206</v>
      </c>
      <c r="E45" s="323">
        <f t="shared" si="10"/>
        <v>24980</v>
      </c>
      <c r="F45" s="322">
        <f t="shared" si="10"/>
        <v>28777</v>
      </c>
      <c r="G45" s="323">
        <f t="shared" si="10"/>
        <v>24502.280000000002</v>
      </c>
      <c r="H45" s="322">
        <f t="shared" si="10"/>
        <v>27825</v>
      </c>
      <c r="I45" s="323">
        <f t="shared" si="10"/>
        <v>26652.33</v>
      </c>
      <c r="J45" s="433">
        <f t="shared" si="10"/>
        <v>29238</v>
      </c>
      <c r="K45" s="434">
        <f t="shared" si="10"/>
        <v>24403.16</v>
      </c>
      <c r="L45" s="322">
        <f t="shared" si="10"/>
        <v>29756</v>
      </c>
      <c r="M45" s="434">
        <f aca="true" t="shared" si="11" ref="M45:V45">SUM(M20+M28+M34+M38+M43+M11)</f>
        <v>26388.976000000006</v>
      </c>
      <c r="N45" s="322">
        <f t="shared" si="11"/>
        <v>31252</v>
      </c>
      <c r="O45" s="434">
        <f t="shared" si="11"/>
        <v>29955.48</v>
      </c>
      <c r="P45" s="322">
        <f t="shared" si="11"/>
        <v>32152</v>
      </c>
      <c r="Q45" s="434">
        <f t="shared" si="11"/>
        <v>29284</v>
      </c>
      <c r="R45" s="322">
        <f>SUM(R20+R28+R34+R38+R43+R11)</f>
        <v>33074</v>
      </c>
      <c r="S45" s="630">
        <f>SUM(S20+S28+S34+S38+S43+S11)</f>
        <v>31247.859999999997</v>
      </c>
      <c r="T45" s="322">
        <f>SUM(T20+T28+T34+T38+T43+T11)</f>
        <v>31690</v>
      </c>
      <c r="U45" s="630">
        <f>SUM(U20+U28+U34+U38+U43+U11)</f>
        <v>16869</v>
      </c>
      <c r="V45" s="322">
        <f t="shared" si="11"/>
        <v>32406</v>
      </c>
      <c r="W45" s="323">
        <f>V45-T45</f>
        <v>716</v>
      </c>
      <c r="X45" s="582">
        <f>SUM(X20+X28+X34+X38+X43+X11)</f>
        <v>100.01851851851852</v>
      </c>
      <c r="Y45" s="399"/>
      <c r="Z45" s="177"/>
      <c r="AA45" s="705"/>
      <c r="AB45" s="706"/>
      <c r="AC45" s="706"/>
      <c r="AD45" s="706"/>
      <c r="AE45" s="706"/>
      <c r="AF45" s="706"/>
      <c r="AG45" s="706"/>
      <c r="AH45" s="178"/>
    </row>
    <row r="46" spans="1:34" ht="61.5" customHeight="1" thickBot="1">
      <c r="A46" s="71"/>
      <c r="B46" s="324"/>
      <c r="C46" s="294"/>
      <c r="D46" s="324"/>
      <c r="E46" s="294"/>
      <c r="F46" s="324"/>
      <c r="G46" s="294"/>
      <c r="H46" s="388"/>
      <c r="I46" s="389"/>
      <c r="J46" s="388"/>
      <c r="K46" s="389"/>
      <c r="L46" s="326"/>
      <c r="M46" s="389"/>
      <c r="N46" s="326"/>
      <c r="O46" s="336"/>
      <c r="P46" s="326"/>
      <c r="Q46" s="336"/>
      <c r="R46" s="326"/>
      <c r="S46" s="90"/>
      <c r="T46" s="326"/>
      <c r="U46" s="90"/>
      <c r="V46" s="326"/>
      <c r="W46" s="336"/>
      <c r="X46" s="405"/>
      <c r="Y46" s="72"/>
      <c r="Z46" s="72"/>
      <c r="AA46" s="711"/>
      <c r="AB46" s="711"/>
      <c r="AC46" s="711"/>
      <c r="AD46" s="711"/>
      <c r="AE46" s="711"/>
      <c r="AF46" s="711"/>
      <c r="AG46" s="711"/>
      <c r="AH46" s="160"/>
    </row>
    <row r="47" spans="1:34" ht="44.25" customHeight="1" thickBot="1">
      <c r="A47" s="282" t="s">
        <v>217</v>
      </c>
      <c r="B47" s="286" t="s">
        <v>232</v>
      </c>
      <c r="C47" s="325" t="s">
        <v>292</v>
      </c>
      <c r="D47" s="332" t="s">
        <v>266</v>
      </c>
      <c r="E47" s="325" t="s">
        <v>308</v>
      </c>
      <c r="F47" s="286" t="s">
        <v>293</v>
      </c>
      <c r="G47" s="287" t="s">
        <v>350</v>
      </c>
      <c r="H47" s="332" t="s">
        <v>325</v>
      </c>
      <c r="I47" s="287" t="s">
        <v>380</v>
      </c>
      <c r="J47" s="332" t="s">
        <v>349</v>
      </c>
      <c r="K47" s="287" t="s">
        <v>382</v>
      </c>
      <c r="L47" s="332" t="s">
        <v>381</v>
      </c>
      <c r="M47" s="287" t="s">
        <v>436</v>
      </c>
      <c r="N47" s="573" t="s">
        <v>437</v>
      </c>
      <c r="O47" s="287" t="s">
        <v>481</v>
      </c>
      <c r="P47" s="332" t="s">
        <v>465</v>
      </c>
      <c r="Q47" s="287" t="s">
        <v>480</v>
      </c>
      <c r="R47" s="332" t="s">
        <v>479</v>
      </c>
      <c r="S47" s="287" t="s">
        <v>533</v>
      </c>
      <c r="T47" s="332" t="s">
        <v>507</v>
      </c>
      <c r="U47" s="287" t="s">
        <v>541</v>
      </c>
      <c r="V47" s="332" t="s">
        <v>526</v>
      </c>
      <c r="W47" s="590" t="s">
        <v>525</v>
      </c>
      <c r="X47" s="583"/>
      <c r="Y47" s="400"/>
      <c r="Z47" s="211"/>
      <c r="AA47" s="705"/>
      <c r="AB47" s="706"/>
      <c r="AC47" s="706"/>
      <c r="AD47" s="706"/>
      <c r="AE47" s="706"/>
      <c r="AF47" s="706"/>
      <c r="AG47" s="706"/>
      <c r="AH47" s="212"/>
    </row>
    <row r="48" spans="1:34" ht="12.75">
      <c r="A48" s="283" t="s">
        <v>219</v>
      </c>
      <c r="B48" s="326">
        <v>25272</v>
      </c>
      <c r="C48" s="327">
        <v>25111</v>
      </c>
      <c r="D48" s="340">
        <v>25896</v>
      </c>
      <c r="E48" s="327">
        <v>25895</v>
      </c>
      <c r="F48" s="326">
        <v>25896</v>
      </c>
      <c r="G48" s="327">
        <v>25808.62</v>
      </c>
      <c r="H48" s="340">
        <v>24960</v>
      </c>
      <c r="I48" s="300">
        <v>25129</v>
      </c>
      <c r="J48" s="340">
        <v>26208</v>
      </c>
      <c r="K48" s="300">
        <v>26288</v>
      </c>
      <c r="L48" s="340">
        <v>27216</v>
      </c>
      <c r="M48" s="300">
        <v>27177.02</v>
      </c>
      <c r="N48" s="408">
        <v>28512</v>
      </c>
      <c r="O48" s="443">
        <v>28502.98</v>
      </c>
      <c r="P48" s="408">
        <v>28512</v>
      </c>
      <c r="Q48" s="443">
        <v>28456</v>
      </c>
      <c r="R48" s="408">
        <v>31104</v>
      </c>
      <c r="S48" s="620">
        <v>31112.53</v>
      </c>
      <c r="T48" s="408">
        <f>Fees!$C$75</f>
        <v>29808</v>
      </c>
      <c r="U48" s="620">
        <v>21881</v>
      </c>
      <c r="V48" s="408">
        <f>Fees!$C$75</f>
        <v>29808</v>
      </c>
      <c r="W48" s="348">
        <f>V48-T48</f>
        <v>0</v>
      </c>
      <c r="X48" s="584"/>
      <c r="Y48" s="401" t="s">
        <v>146</v>
      </c>
      <c r="Z48" s="203"/>
      <c r="AA48" s="703" t="s">
        <v>385</v>
      </c>
      <c r="AB48" s="704"/>
      <c r="AC48" s="704"/>
      <c r="AD48" s="704"/>
      <c r="AE48" s="704"/>
      <c r="AF48" s="704"/>
      <c r="AG48" s="704"/>
      <c r="AH48" s="210"/>
    </row>
    <row r="49" spans="1:34" ht="12.75">
      <c r="A49" s="284" t="s">
        <v>343</v>
      </c>
      <c r="B49" s="306">
        <v>564</v>
      </c>
      <c r="C49" s="296">
        <v>517</v>
      </c>
      <c r="D49" s="303">
        <v>600</v>
      </c>
      <c r="E49" s="296">
        <v>647</v>
      </c>
      <c r="F49" s="306">
        <v>600</v>
      </c>
      <c r="G49" s="296">
        <v>600</v>
      </c>
      <c r="H49" s="303">
        <v>588</v>
      </c>
      <c r="I49" s="304">
        <v>588</v>
      </c>
      <c r="J49" s="340">
        <v>564</v>
      </c>
      <c r="K49" s="300">
        <v>564</v>
      </c>
      <c r="L49" s="340">
        <f>Fees!$C$76</f>
        <v>0</v>
      </c>
      <c r="M49" s="300">
        <v>0</v>
      </c>
      <c r="N49" s="408">
        <f>Fees!$C$76</f>
        <v>0</v>
      </c>
      <c r="O49" s="443">
        <v>0</v>
      </c>
      <c r="P49" s="408">
        <f>Fees!$C$76</f>
        <v>0</v>
      </c>
      <c r="Q49" s="443">
        <v>0</v>
      </c>
      <c r="R49" s="408">
        <v>0</v>
      </c>
      <c r="S49" s="620">
        <v>0</v>
      </c>
      <c r="T49" s="408">
        <f>Fees!$C$76</f>
        <v>0</v>
      </c>
      <c r="U49" s="620">
        <v>0</v>
      </c>
      <c r="V49" s="408">
        <f>Fees!$C$76</f>
        <v>0</v>
      </c>
      <c r="W49" s="345">
        <f aca="true" t="shared" si="12" ref="W49:W55">V49-T49</f>
        <v>0</v>
      </c>
      <c r="X49" s="585"/>
      <c r="Y49" s="395" t="s">
        <v>146</v>
      </c>
      <c r="Z49" s="111"/>
      <c r="AA49" s="699"/>
      <c r="AB49" s="700"/>
      <c r="AC49" s="700"/>
      <c r="AD49" s="700"/>
      <c r="AE49" s="700"/>
      <c r="AF49" s="700"/>
      <c r="AG49" s="700"/>
      <c r="AH49" s="204"/>
    </row>
    <row r="50" spans="1:34" ht="12.75">
      <c r="A50" s="284" t="s">
        <v>239</v>
      </c>
      <c r="B50" s="326">
        <v>240</v>
      </c>
      <c r="C50" s="327">
        <v>300</v>
      </c>
      <c r="D50" s="303">
        <v>480</v>
      </c>
      <c r="E50" s="327">
        <v>510</v>
      </c>
      <c r="F50" s="326">
        <v>480</v>
      </c>
      <c r="G50" s="327">
        <v>390</v>
      </c>
      <c r="H50" s="303">
        <v>480</v>
      </c>
      <c r="I50" s="304">
        <v>390</v>
      </c>
      <c r="J50" s="340">
        <v>360</v>
      </c>
      <c r="K50" s="300">
        <v>300</v>
      </c>
      <c r="L50" s="340">
        <v>360</v>
      </c>
      <c r="M50" s="300">
        <v>330</v>
      </c>
      <c r="N50" s="408">
        <v>360</v>
      </c>
      <c r="O50" s="443">
        <v>540</v>
      </c>
      <c r="P50" s="408">
        <v>360</v>
      </c>
      <c r="Q50" s="443">
        <v>120</v>
      </c>
      <c r="R50" s="408">
        <v>360</v>
      </c>
      <c r="S50" s="620">
        <v>190</v>
      </c>
      <c r="T50" s="408">
        <f>Fees!$C$77</f>
        <v>360</v>
      </c>
      <c r="U50" s="620">
        <v>240</v>
      </c>
      <c r="V50" s="408">
        <f>Fees!$C$77</f>
        <v>360</v>
      </c>
      <c r="W50" s="345">
        <f t="shared" si="12"/>
        <v>0</v>
      </c>
      <c r="X50" s="585"/>
      <c r="Y50" s="395" t="s">
        <v>146</v>
      </c>
      <c r="Z50" s="111"/>
      <c r="AA50" s="707"/>
      <c r="AB50" s="708"/>
      <c r="AC50" s="708"/>
      <c r="AD50" s="708"/>
      <c r="AE50" s="708"/>
      <c r="AF50" s="708"/>
      <c r="AG50" s="115"/>
      <c r="AH50" s="204"/>
    </row>
    <row r="51" spans="1:34" ht="13.5" customHeight="1">
      <c r="A51" s="284" t="s">
        <v>238</v>
      </c>
      <c r="B51" s="306">
        <v>400</v>
      </c>
      <c r="C51" s="296">
        <v>358</v>
      </c>
      <c r="D51" s="303">
        <v>400</v>
      </c>
      <c r="E51" s="296">
        <v>545</v>
      </c>
      <c r="F51" s="306">
        <v>350</v>
      </c>
      <c r="G51" s="296">
        <f>405+50+219.86</f>
        <v>674.86</v>
      </c>
      <c r="H51" s="303">
        <v>350</v>
      </c>
      <c r="I51" s="304">
        <f>280+25</f>
        <v>305</v>
      </c>
      <c r="J51" s="303">
        <v>500</v>
      </c>
      <c r="K51" s="304">
        <f>50+500</f>
        <v>550</v>
      </c>
      <c r="L51" s="303">
        <v>0</v>
      </c>
      <c r="M51" s="304">
        <v>50</v>
      </c>
      <c r="N51" s="409">
        <v>0</v>
      </c>
      <c r="O51" s="444">
        <f>75+74</f>
        <v>149</v>
      </c>
      <c r="P51" s="409">
        <v>0</v>
      </c>
      <c r="Q51" s="444">
        <v>0</v>
      </c>
      <c r="R51" s="409">
        <v>0</v>
      </c>
      <c r="S51" s="621">
        <v>75</v>
      </c>
      <c r="T51" s="409">
        <v>0</v>
      </c>
      <c r="U51" s="621">
        <v>50</v>
      </c>
      <c r="V51" s="409">
        <v>0</v>
      </c>
      <c r="W51" s="345">
        <f t="shared" si="12"/>
        <v>0</v>
      </c>
      <c r="X51" s="585"/>
      <c r="Y51" s="104" t="s">
        <v>146</v>
      </c>
      <c r="Z51" s="64"/>
      <c r="AA51" s="699"/>
      <c r="AB51" s="700"/>
      <c r="AC51" s="700"/>
      <c r="AD51" s="700"/>
      <c r="AE51" s="700"/>
      <c r="AF51" s="700"/>
      <c r="AG51" s="115"/>
      <c r="AH51" s="204"/>
    </row>
    <row r="52" spans="1:34" ht="12.75">
      <c r="A52" s="284" t="s">
        <v>200</v>
      </c>
      <c r="B52" s="306">
        <v>0</v>
      </c>
      <c r="C52" s="296">
        <v>12</v>
      </c>
      <c r="D52" s="303">
        <v>0</v>
      </c>
      <c r="E52" s="296">
        <v>78</v>
      </c>
      <c r="F52" s="306">
        <v>0</v>
      </c>
      <c r="G52" s="296">
        <v>11.79</v>
      </c>
      <c r="H52" s="303">
        <v>0</v>
      </c>
      <c r="I52" s="304">
        <v>0</v>
      </c>
      <c r="J52" s="303">
        <v>0</v>
      </c>
      <c r="K52" s="304">
        <v>-54</v>
      </c>
      <c r="L52" s="303">
        <v>0</v>
      </c>
      <c r="M52" s="304">
        <v>-10</v>
      </c>
      <c r="N52" s="409">
        <v>0</v>
      </c>
      <c r="O52" s="444">
        <v>0</v>
      </c>
      <c r="P52" s="409">
        <v>0</v>
      </c>
      <c r="Q52" s="444">
        <v>0</v>
      </c>
      <c r="R52" s="409">
        <v>0</v>
      </c>
      <c r="S52" s="621">
        <v>0</v>
      </c>
      <c r="T52" s="409">
        <v>0</v>
      </c>
      <c r="U52" s="621">
        <v>0</v>
      </c>
      <c r="V52" s="409">
        <v>0</v>
      </c>
      <c r="W52" s="345">
        <f t="shared" si="12"/>
        <v>0</v>
      </c>
      <c r="X52" s="586"/>
      <c r="Y52" s="104" t="s">
        <v>146</v>
      </c>
      <c r="Z52" s="64"/>
      <c r="AA52" s="699"/>
      <c r="AB52" s="700"/>
      <c r="AC52" s="700"/>
      <c r="AD52" s="700"/>
      <c r="AE52" s="700"/>
      <c r="AF52" s="700"/>
      <c r="AG52" s="68"/>
      <c r="AH52" s="205"/>
    </row>
    <row r="53" spans="1:34" ht="12.75">
      <c r="A53" s="284" t="s">
        <v>310</v>
      </c>
      <c r="B53" s="306">
        <v>0</v>
      </c>
      <c r="C53" s="296">
        <v>0</v>
      </c>
      <c r="D53" s="337">
        <v>1928</v>
      </c>
      <c r="E53" s="296">
        <v>1920</v>
      </c>
      <c r="F53" s="306">
        <v>1678</v>
      </c>
      <c r="G53" s="296">
        <v>1653.61</v>
      </c>
      <c r="H53" s="303">
        <v>1678</v>
      </c>
      <c r="I53" s="304">
        <v>1624.08</v>
      </c>
      <c r="J53" s="303">
        <v>1678</v>
      </c>
      <c r="K53" s="304">
        <v>1615.08</v>
      </c>
      <c r="L53" s="303">
        <v>1678</v>
      </c>
      <c r="M53" s="304">
        <v>1640.69</v>
      </c>
      <c r="N53" s="409">
        <v>1678</v>
      </c>
      <c r="O53" s="444">
        <v>1643.47</v>
      </c>
      <c r="P53" s="409">
        <v>1678</v>
      </c>
      <c r="Q53" s="444">
        <v>1678</v>
      </c>
      <c r="R53" s="409">
        <v>1678</v>
      </c>
      <c r="S53" s="621">
        <v>1642.95</v>
      </c>
      <c r="T53" s="409">
        <v>1678</v>
      </c>
      <c r="U53" s="621">
        <v>0</v>
      </c>
      <c r="V53" s="409">
        <v>1678</v>
      </c>
      <c r="W53" s="345">
        <f t="shared" si="12"/>
        <v>0</v>
      </c>
      <c r="X53" s="586"/>
      <c r="Y53" s="104" t="s">
        <v>146</v>
      </c>
      <c r="Z53" s="64"/>
      <c r="AA53" s="154"/>
      <c r="AB53" s="155"/>
      <c r="AC53" s="155"/>
      <c r="AD53" s="155"/>
      <c r="AE53" s="155"/>
      <c r="AF53" s="155"/>
      <c r="AG53" s="79"/>
      <c r="AH53" s="205"/>
    </row>
    <row r="54" spans="1:34" ht="13.5" thickBot="1">
      <c r="A54" s="380" t="s">
        <v>246</v>
      </c>
      <c r="B54" s="381">
        <v>-90</v>
      </c>
      <c r="C54" s="382">
        <v>-105</v>
      </c>
      <c r="D54" s="381">
        <v>-150</v>
      </c>
      <c r="E54" s="382">
        <v>-156</v>
      </c>
      <c r="F54" s="381">
        <v>-150</v>
      </c>
      <c r="G54" s="382">
        <v>-152</v>
      </c>
      <c r="H54" s="390">
        <v>-150</v>
      </c>
      <c r="I54" s="415">
        <v>-44</v>
      </c>
      <c r="J54" s="390">
        <v>-150</v>
      </c>
      <c r="K54" s="415">
        <v>-215</v>
      </c>
      <c r="L54" s="390">
        <v>-150</v>
      </c>
      <c r="M54" s="415">
        <v>-64</v>
      </c>
      <c r="N54" s="574">
        <v>-150</v>
      </c>
      <c r="O54" s="575">
        <v>-162</v>
      </c>
      <c r="P54" s="574">
        <v>-150</v>
      </c>
      <c r="Q54" s="575">
        <v>0</v>
      </c>
      <c r="R54" s="574">
        <v>-150</v>
      </c>
      <c r="S54" s="631">
        <v>0</v>
      </c>
      <c r="T54" s="574">
        <v>0</v>
      </c>
      <c r="U54" s="631">
        <v>0</v>
      </c>
      <c r="V54" s="574">
        <v>0</v>
      </c>
      <c r="W54" s="592">
        <f t="shared" si="12"/>
        <v>0</v>
      </c>
      <c r="X54" s="587"/>
      <c r="Y54" s="402" t="s">
        <v>146</v>
      </c>
      <c r="Z54" s="383"/>
      <c r="AA54" s="384"/>
      <c r="AB54" s="385"/>
      <c r="AC54" s="385"/>
      <c r="AD54" s="385"/>
      <c r="AE54" s="385"/>
      <c r="AF54" s="385"/>
      <c r="AG54" s="386"/>
      <c r="AH54" s="387"/>
    </row>
    <row r="55" spans="1:34" ht="12.75" customHeight="1" thickBot="1">
      <c r="A55" s="375" t="s">
        <v>8</v>
      </c>
      <c r="B55" s="376">
        <f aca="true" t="shared" si="13" ref="B55:Q55">SUM(B48:B54)</f>
        <v>26386</v>
      </c>
      <c r="C55" s="377">
        <f t="shared" si="13"/>
        <v>26193</v>
      </c>
      <c r="D55" s="376">
        <f t="shared" si="13"/>
        <v>29154</v>
      </c>
      <c r="E55" s="377">
        <f t="shared" si="13"/>
        <v>29439</v>
      </c>
      <c r="F55" s="376">
        <v>28854</v>
      </c>
      <c r="G55" s="377">
        <f t="shared" si="13"/>
        <v>28986.88</v>
      </c>
      <c r="H55" s="376">
        <f t="shared" si="13"/>
        <v>27906</v>
      </c>
      <c r="I55" s="377">
        <f t="shared" si="13"/>
        <v>27992.08</v>
      </c>
      <c r="J55" s="435">
        <f t="shared" si="13"/>
        <v>29160</v>
      </c>
      <c r="K55" s="436">
        <f t="shared" si="13"/>
        <v>29048.08</v>
      </c>
      <c r="L55" s="376">
        <f>SUM(L48:L54)</f>
        <v>29104</v>
      </c>
      <c r="M55" s="436">
        <f t="shared" si="13"/>
        <v>29123.71</v>
      </c>
      <c r="N55" s="435">
        <f>SUM(N48:N54)</f>
        <v>30400</v>
      </c>
      <c r="O55" s="436">
        <f t="shared" si="13"/>
        <v>30673.45</v>
      </c>
      <c r="P55" s="435">
        <f>SUM(P48:P54)</f>
        <v>30400</v>
      </c>
      <c r="Q55" s="436">
        <f t="shared" si="13"/>
        <v>30254</v>
      </c>
      <c r="R55" s="435">
        <f>SUM(R48:R54)</f>
        <v>32992</v>
      </c>
      <c r="S55" s="632">
        <f>SUM(S48:S54)</f>
        <v>33020.479999999996</v>
      </c>
      <c r="T55" s="435">
        <f>SUM(T48:T54)</f>
        <v>31846</v>
      </c>
      <c r="U55" s="632">
        <f>SUM(U48:U54)</f>
        <v>22171</v>
      </c>
      <c r="V55" s="435">
        <f>SUM(V48:V54)</f>
        <v>31846</v>
      </c>
      <c r="W55" s="593">
        <f t="shared" si="12"/>
        <v>0</v>
      </c>
      <c r="X55" s="588"/>
      <c r="Y55" s="403" t="s">
        <v>146</v>
      </c>
      <c r="Z55" s="378"/>
      <c r="AA55" s="701"/>
      <c r="AB55" s="702"/>
      <c r="AC55" s="702"/>
      <c r="AD55" s="702"/>
      <c r="AE55" s="702"/>
      <c r="AF55" s="702"/>
      <c r="AG55" s="702"/>
      <c r="AH55" s="379"/>
    </row>
    <row r="56" spans="1:34" ht="13.5" thickBot="1">
      <c r="A56" s="206"/>
      <c r="B56" s="328"/>
      <c r="C56" s="329"/>
      <c r="D56" s="347"/>
      <c r="E56" s="329"/>
      <c r="F56" s="328"/>
      <c r="G56" s="329"/>
      <c r="H56" s="347"/>
      <c r="I56" s="391"/>
      <c r="J56" s="347"/>
      <c r="K56" s="391"/>
      <c r="L56" s="347"/>
      <c r="M56" s="391"/>
      <c r="N56" s="576"/>
      <c r="O56" s="391"/>
      <c r="P56" s="576"/>
      <c r="Q56" s="391"/>
      <c r="R56" s="576"/>
      <c r="S56" s="633"/>
      <c r="T56" s="576"/>
      <c r="U56" s="633"/>
      <c r="V56" s="576"/>
      <c r="W56" s="391"/>
      <c r="X56" s="406"/>
      <c r="Y56" s="208"/>
      <c r="Z56" s="208"/>
      <c r="AA56" s="207"/>
      <c r="AB56" s="207"/>
      <c r="AC56" s="207"/>
      <c r="AD56" s="207"/>
      <c r="AE56" s="207"/>
      <c r="AF56" s="207"/>
      <c r="AG56" s="207"/>
      <c r="AH56" s="209"/>
    </row>
    <row r="57" spans="1:33" ht="13.5" thickBot="1">
      <c r="A57" s="285" t="s">
        <v>167</v>
      </c>
      <c r="B57" s="330">
        <f>B55-B45</f>
        <v>11</v>
      </c>
      <c r="C57" s="331">
        <f>C55-C45</f>
        <v>950</v>
      </c>
      <c r="D57" s="330">
        <f>D55-D45</f>
        <v>-52</v>
      </c>
      <c r="E57" s="609">
        <f>E55-E45</f>
        <v>4459</v>
      </c>
      <c r="F57" s="330">
        <v>77</v>
      </c>
      <c r="G57" s="609">
        <f aca="true" t="shared" si="14" ref="G57:N57">G55-G45</f>
        <v>4484.5999999999985</v>
      </c>
      <c r="H57" s="392">
        <f t="shared" si="14"/>
        <v>81</v>
      </c>
      <c r="I57" s="608">
        <f t="shared" si="14"/>
        <v>1339.75</v>
      </c>
      <c r="J57" s="437">
        <f t="shared" si="14"/>
        <v>-78</v>
      </c>
      <c r="K57" s="438">
        <f t="shared" si="14"/>
        <v>4644.920000000002</v>
      </c>
      <c r="L57" s="392">
        <f t="shared" si="14"/>
        <v>-652</v>
      </c>
      <c r="M57" s="438">
        <f t="shared" si="14"/>
        <v>2734.733999999993</v>
      </c>
      <c r="N57" s="437">
        <f t="shared" si="14"/>
        <v>-852</v>
      </c>
      <c r="O57" s="438">
        <f aca="true" t="shared" si="15" ref="O57:V57">O55-O45</f>
        <v>717.9700000000012</v>
      </c>
      <c r="P57" s="437">
        <f t="shared" si="15"/>
        <v>-1752</v>
      </c>
      <c r="Q57" s="438">
        <f t="shared" si="15"/>
        <v>970</v>
      </c>
      <c r="R57" s="437">
        <f t="shared" si="15"/>
        <v>-82</v>
      </c>
      <c r="S57" s="634">
        <f t="shared" si="15"/>
        <v>1772.619999999999</v>
      </c>
      <c r="T57" s="676">
        <f>T55-T45</f>
        <v>156</v>
      </c>
      <c r="U57" s="676">
        <f>U55-U45</f>
        <v>5302</v>
      </c>
      <c r="V57" s="649">
        <f t="shared" si="15"/>
        <v>-560</v>
      </c>
      <c r="W57" s="393"/>
      <c r="X57" s="589"/>
      <c r="Y57" s="72"/>
      <c r="Z57" s="72"/>
      <c r="AA57" s="696"/>
      <c r="AB57" s="696"/>
      <c r="AC57" s="696"/>
      <c r="AD57" s="696"/>
      <c r="AE57" s="696"/>
      <c r="AF57" s="696"/>
      <c r="AG57" s="696"/>
    </row>
    <row r="58" spans="1:26" ht="12.75">
      <c r="A58" s="100"/>
      <c r="H58" s="151"/>
      <c r="Y58" s="72"/>
      <c r="Z58" s="72"/>
    </row>
    <row r="59" spans="1:26" ht="12.75">
      <c r="A59" s="449"/>
      <c r="E59" s="5" t="s">
        <v>484</v>
      </c>
      <c r="G59" s="5" t="s">
        <v>483</v>
      </c>
      <c r="H59" s="151"/>
      <c r="I59" s="5" t="s">
        <v>482</v>
      </c>
      <c r="K59" s="77"/>
      <c r="L59" s="449"/>
      <c r="M59" s="449"/>
      <c r="N59" s="449"/>
      <c r="O59" s="449"/>
      <c r="P59" s="449"/>
      <c r="Q59" s="449"/>
      <c r="R59" s="449"/>
      <c r="S59" s="449"/>
      <c r="T59" s="449"/>
      <c r="U59" s="449"/>
      <c r="V59" s="449"/>
      <c r="W59" s="151"/>
      <c r="X59" s="447"/>
      <c r="Y59" s="460"/>
      <c r="Z59" s="72"/>
    </row>
    <row r="60" spans="1:26" ht="12.75">
      <c r="A60" s="114"/>
      <c r="B60" s="66"/>
      <c r="C60" s="66"/>
      <c r="D60" s="66"/>
      <c r="E60" s="66"/>
      <c r="F60" s="66"/>
      <c r="G60" s="66"/>
      <c r="H60" s="201"/>
      <c r="I60" s="74"/>
      <c r="J60" s="74"/>
      <c r="K60" s="74"/>
      <c r="L60" s="449"/>
      <c r="M60" s="449"/>
      <c r="N60" s="449"/>
      <c r="O60" s="449"/>
      <c r="P60" s="449"/>
      <c r="Q60" s="449"/>
      <c r="R60" s="449"/>
      <c r="S60" s="449"/>
      <c r="T60" s="449"/>
      <c r="U60" s="449"/>
      <c r="V60" s="449"/>
      <c r="W60" s="74"/>
      <c r="X60" s="75"/>
      <c r="Y60" s="75"/>
      <c r="Z60" s="75"/>
    </row>
    <row r="61" spans="2:30" ht="12.75">
      <c r="B61" s="76"/>
      <c r="C61" s="76"/>
      <c r="D61" s="76"/>
      <c r="E61" s="76"/>
      <c r="F61" s="76"/>
      <c r="G61" s="76"/>
      <c r="H61" s="202"/>
      <c r="I61" s="77"/>
      <c r="J61" s="77"/>
      <c r="K61" s="77"/>
      <c r="L61" s="450"/>
      <c r="M61" s="450"/>
      <c r="N61" s="450"/>
      <c r="O61" s="450"/>
      <c r="P61" s="450"/>
      <c r="Q61" s="450"/>
      <c r="R61" s="450"/>
      <c r="S61" s="450"/>
      <c r="T61" s="450"/>
      <c r="U61" s="450"/>
      <c r="V61" s="450"/>
      <c r="W61" s="450"/>
      <c r="X61" s="451"/>
      <c r="Y61" s="168"/>
      <c r="Z61" s="360"/>
      <c r="AA61" s="151"/>
      <c r="AB61" s="201"/>
      <c r="AC61" s="151"/>
      <c r="AD61" s="151"/>
    </row>
    <row r="62" spans="8:30" ht="12.75">
      <c r="H62" s="151"/>
      <c r="K62" s="90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447"/>
      <c r="Y62" s="447"/>
      <c r="Z62" s="447"/>
      <c r="AA62" s="151"/>
      <c r="AB62" s="151"/>
      <c r="AC62" s="151"/>
      <c r="AD62" s="151"/>
    </row>
    <row r="63" spans="1:30" ht="12.75">
      <c r="A63" s="6"/>
      <c r="H63" s="151"/>
      <c r="I63" s="151"/>
      <c r="J63" s="414"/>
      <c r="Y63" s="447"/>
      <c r="Z63" s="447"/>
      <c r="AA63" s="151"/>
      <c r="AB63" s="151"/>
      <c r="AC63" s="151"/>
      <c r="AD63" s="151"/>
    </row>
    <row r="64" ht="12.75">
      <c r="H64" s="151"/>
    </row>
    <row r="65" ht="12.75">
      <c r="H65" s="151"/>
    </row>
    <row r="66" ht="12.75">
      <c r="H66" s="151"/>
    </row>
    <row r="67" ht="12.75">
      <c r="H67" s="151"/>
    </row>
    <row r="68" ht="12.75">
      <c r="H68" s="151"/>
    </row>
    <row r="69" ht="12.75">
      <c r="H69" s="151"/>
    </row>
    <row r="70" ht="12.75">
      <c r="H70" s="151"/>
    </row>
    <row r="71" ht="12.75">
      <c r="H71" s="151"/>
    </row>
    <row r="72" ht="12.75">
      <c r="H72" s="151"/>
    </row>
    <row r="73" ht="12.75">
      <c r="H73" s="151"/>
    </row>
    <row r="74" ht="12.75">
      <c r="H74" s="151"/>
    </row>
    <row r="75" spans="1:8" ht="12.75">
      <c r="A75" s="6"/>
      <c r="H75" s="151"/>
    </row>
    <row r="76" ht="12.75">
      <c r="H76" s="151"/>
    </row>
    <row r="77" ht="12.75">
      <c r="H77" s="151"/>
    </row>
    <row r="78" ht="12.75">
      <c r="H78" s="151"/>
    </row>
    <row r="79" ht="12.75">
      <c r="H79" s="151"/>
    </row>
    <row r="80" ht="12.75">
      <c r="H80" s="151"/>
    </row>
    <row r="81" spans="1:8" ht="12.75">
      <c r="A81" s="6"/>
      <c r="H81" s="151"/>
    </row>
    <row r="82" ht="12.75">
      <c r="H82" s="151"/>
    </row>
    <row r="83" ht="12.75">
      <c r="H83" s="151"/>
    </row>
    <row r="84" ht="12.75">
      <c r="H84" s="151"/>
    </row>
    <row r="85" ht="12.75">
      <c r="H85" s="151"/>
    </row>
    <row r="86" ht="12.75">
      <c r="H86" s="151"/>
    </row>
    <row r="87" ht="12.75">
      <c r="H87" s="151"/>
    </row>
    <row r="88" spans="1:8" ht="12.75">
      <c r="A88" s="6"/>
      <c r="H88" s="151"/>
    </row>
    <row r="89" ht="12.75">
      <c r="H89" s="151"/>
    </row>
    <row r="90" ht="12.75">
      <c r="H90" s="151"/>
    </row>
    <row r="91" ht="12.75">
      <c r="H91" s="151"/>
    </row>
    <row r="92" ht="12.75">
      <c r="H92" s="151"/>
    </row>
    <row r="93" ht="12.75">
      <c r="H93" s="151"/>
    </row>
    <row r="94" ht="12.75">
      <c r="H94" s="151"/>
    </row>
    <row r="95" ht="12.75">
      <c r="H95" s="151"/>
    </row>
    <row r="96" ht="12.75">
      <c r="H96" s="151"/>
    </row>
    <row r="97" ht="12.75">
      <c r="H97" s="151"/>
    </row>
    <row r="98" ht="12.75">
      <c r="H98" s="151"/>
    </row>
    <row r="99" ht="12.75">
      <c r="H99" s="151"/>
    </row>
    <row r="100" ht="12.75">
      <c r="H100" s="151"/>
    </row>
    <row r="101" ht="12.75">
      <c r="H101" s="151"/>
    </row>
    <row r="102" ht="12.75">
      <c r="H102" s="151"/>
    </row>
    <row r="103" ht="12.75">
      <c r="H103" s="151"/>
    </row>
    <row r="104" ht="12.75">
      <c r="H104" s="151"/>
    </row>
    <row r="105" ht="12.75">
      <c r="H105" s="151"/>
    </row>
    <row r="106" ht="12.75">
      <c r="H106" s="151"/>
    </row>
    <row r="107" ht="12.75">
      <c r="H107" s="151"/>
    </row>
    <row r="108" ht="12.75">
      <c r="H108" s="151"/>
    </row>
    <row r="109" ht="12.75">
      <c r="H109" s="151"/>
    </row>
    <row r="110" ht="12.75">
      <c r="H110" s="151"/>
    </row>
    <row r="111" ht="12.75">
      <c r="H111" s="151"/>
    </row>
    <row r="112" ht="12.75">
      <c r="H112" s="151"/>
    </row>
    <row r="113" ht="12.75">
      <c r="H113" s="151"/>
    </row>
    <row r="114" ht="12.75">
      <c r="H114" s="151"/>
    </row>
    <row r="115" ht="12.75">
      <c r="H115" s="151"/>
    </row>
    <row r="116" ht="12.75">
      <c r="H116" s="151"/>
    </row>
    <row r="117" ht="12.75">
      <c r="H117" s="151"/>
    </row>
    <row r="118" ht="12.75">
      <c r="H118" s="151"/>
    </row>
    <row r="119" ht="12.75">
      <c r="H119" s="151"/>
    </row>
    <row r="120" ht="12.75">
      <c r="H120" s="151"/>
    </row>
    <row r="121" ht="12.75">
      <c r="H121" s="151"/>
    </row>
    <row r="122" ht="12.75">
      <c r="H122" s="151"/>
    </row>
    <row r="123" ht="12.75">
      <c r="H123" s="151"/>
    </row>
    <row r="124" ht="12.75">
      <c r="H124" s="151"/>
    </row>
    <row r="125" ht="12.75">
      <c r="H125" s="151"/>
    </row>
    <row r="126" ht="12.75">
      <c r="H126" s="151"/>
    </row>
    <row r="127" ht="12.75">
      <c r="H127" s="151"/>
    </row>
    <row r="128" ht="12.75">
      <c r="H128" s="151"/>
    </row>
    <row r="129" ht="12.75">
      <c r="H129" s="151"/>
    </row>
    <row r="130" ht="12.75">
      <c r="H130" s="151"/>
    </row>
    <row r="131" ht="12.75">
      <c r="H131" s="151"/>
    </row>
    <row r="132" ht="12.75">
      <c r="H132" s="151"/>
    </row>
    <row r="133" ht="12.75">
      <c r="H133" s="151"/>
    </row>
    <row r="134" ht="12.75">
      <c r="H134" s="151"/>
    </row>
    <row r="135" ht="12.75">
      <c r="H135" s="151"/>
    </row>
    <row r="136" ht="12.75">
      <c r="H136" s="151"/>
    </row>
    <row r="137" ht="12.75">
      <c r="H137" s="151"/>
    </row>
    <row r="138" ht="12.75">
      <c r="H138" s="151"/>
    </row>
    <row r="139" ht="12.75">
      <c r="H139" s="151"/>
    </row>
    <row r="140" ht="12.75">
      <c r="H140" s="151"/>
    </row>
    <row r="141" ht="12.75">
      <c r="H141" s="151"/>
    </row>
    <row r="142" ht="12.75">
      <c r="H142" s="151"/>
    </row>
    <row r="143" ht="12.75">
      <c r="H143" s="151"/>
    </row>
    <row r="144" ht="12.75">
      <c r="H144" s="151"/>
    </row>
    <row r="145" ht="12.75">
      <c r="H145" s="151"/>
    </row>
    <row r="146" ht="12.75">
      <c r="H146" s="151"/>
    </row>
    <row r="147" ht="12.75">
      <c r="H147" s="151"/>
    </row>
    <row r="148" ht="12.75">
      <c r="H148" s="151"/>
    </row>
    <row r="149" ht="12.75">
      <c r="H149" s="151"/>
    </row>
    <row r="150" ht="12.75">
      <c r="H150" s="151"/>
    </row>
    <row r="151" ht="12.75">
      <c r="H151" s="151"/>
    </row>
    <row r="152" ht="12.75">
      <c r="H152" s="151"/>
    </row>
    <row r="153" ht="12.75">
      <c r="H153" s="151"/>
    </row>
    <row r="154" ht="12.75">
      <c r="H154" s="151"/>
    </row>
    <row r="155" ht="12.75">
      <c r="H155" s="151"/>
    </row>
    <row r="156" ht="12.75">
      <c r="H156" s="151"/>
    </row>
    <row r="157" ht="12.75">
      <c r="H157" s="151"/>
    </row>
    <row r="158" ht="12.75">
      <c r="H158" s="151"/>
    </row>
    <row r="159" ht="12.75">
      <c r="H159" s="151"/>
    </row>
    <row r="160" ht="12.75">
      <c r="H160" s="151"/>
    </row>
    <row r="161" ht="12.75">
      <c r="H161" s="151"/>
    </row>
    <row r="162" ht="12.75">
      <c r="H162" s="151"/>
    </row>
    <row r="163" ht="12.75">
      <c r="H163" s="151"/>
    </row>
    <row r="164" ht="12.75">
      <c r="H164" s="151"/>
    </row>
    <row r="165" ht="12.75">
      <c r="H165" s="151"/>
    </row>
    <row r="166" ht="12.75">
      <c r="H166" s="151"/>
    </row>
    <row r="167" ht="12.75">
      <c r="H167" s="151"/>
    </row>
    <row r="168" ht="12.75">
      <c r="H168" s="151"/>
    </row>
    <row r="169" ht="12.75">
      <c r="H169" s="151"/>
    </row>
    <row r="170" ht="12.75">
      <c r="H170" s="151"/>
    </row>
    <row r="171" ht="12.75">
      <c r="H171" s="151"/>
    </row>
    <row r="172" ht="12.75">
      <c r="H172" s="151"/>
    </row>
    <row r="173" ht="12.75">
      <c r="H173" s="151"/>
    </row>
    <row r="174" ht="12.75">
      <c r="H174" s="151"/>
    </row>
    <row r="175" ht="12.75">
      <c r="H175" s="151"/>
    </row>
    <row r="176" ht="12.75">
      <c r="H176" s="151"/>
    </row>
    <row r="177" ht="12.75">
      <c r="H177" s="151"/>
    </row>
    <row r="178" ht="12.75">
      <c r="H178" s="151"/>
    </row>
    <row r="179" ht="12.75">
      <c r="H179" s="151"/>
    </row>
    <row r="180" ht="12.75">
      <c r="H180" s="151"/>
    </row>
    <row r="181" ht="12.75">
      <c r="H181" s="151"/>
    </row>
    <row r="182" ht="12.75">
      <c r="H182" s="151"/>
    </row>
    <row r="183" ht="12.75">
      <c r="H183" s="151"/>
    </row>
    <row r="184" ht="12.75">
      <c r="H184" s="151"/>
    </row>
    <row r="185" ht="12.75">
      <c r="H185" s="151"/>
    </row>
    <row r="186" ht="12.75">
      <c r="H186" s="151"/>
    </row>
    <row r="187" ht="12.75">
      <c r="H187" s="151"/>
    </row>
    <row r="188" ht="12.75">
      <c r="H188" s="151"/>
    </row>
    <row r="189" ht="12.75">
      <c r="H189" s="151"/>
    </row>
    <row r="190" ht="12.75">
      <c r="H190" s="151"/>
    </row>
    <row r="191" ht="12.75">
      <c r="H191" s="151"/>
    </row>
    <row r="192" ht="12.75">
      <c r="H192" s="151"/>
    </row>
    <row r="193" ht="12.75">
      <c r="H193" s="151"/>
    </row>
    <row r="194" ht="12.75">
      <c r="H194" s="151"/>
    </row>
    <row r="195" ht="12.75">
      <c r="H195" s="151"/>
    </row>
    <row r="196" ht="12.75">
      <c r="H196" s="151"/>
    </row>
    <row r="197" ht="12.75">
      <c r="H197" s="151"/>
    </row>
    <row r="198" ht="12.75">
      <c r="H198" s="151"/>
    </row>
    <row r="199" ht="12.75">
      <c r="H199" s="151"/>
    </row>
    <row r="200" ht="12.75">
      <c r="H200" s="151"/>
    </row>
    <row r="201" ht="12.75">
      <c r="H201" s="151"/>
    </row>
    <row r="202" ht="12.75">
      <c r="H202" s="151"/>
    </row>
    <row r="203" ht="12.75">
      <c r="H203" s="151"/>
    </row>
    <row r="204" ht="12.75">
      <c r="H204" s="151"/>
    </row>
    <row r="205" ht="12.75">
      <c r="H205" s="151"/>
    </row>
    <row r="206" ht="12.75">
      <c r="H206" s="151"/>
    </row>
    <row r="207" ht="12.75">
      <c r="H207" s="151"/>
    </row>
    <row r="208" ht="12.75">
      <c r="H208" s="151"/>
    </row>
    <row r="209" ht="12.75">
      <c r="H209" s="151"/>
    </row>
    <row r="210" ht="12.75">
      <c r="H210" s="151"/>
    </row>
    <row r="211" ht="12.75">
      <c r="H211" s="151"/>
    </row>
    <row r="212" ht="12.75">
      <c r="H212" s="151"/>
    </row>
    <row r="213" ht="12.75">
      <c r="H213" s="151"/>
    </row>
    <row r="214" ht="12.75">
      <c r="H214" s="151"/>
    </row>
    <row r="215" ht="12.75">
      <c r="H215" s="151"/>
    </row>
    <row r="216" ht="12.75">
      <c r="H216" s="151"/>
    </row>
    <row r="217" ht="12.75">
      <c r="H217" s="151"/>
    </row>
    <row r="218" ht="12.75">
      <c r="H218" s="151"/>
    </row>
    <row r="219" ht="12.75">
      <c r="H219" s="151"/>
    </row>
    <row r="220" ht="12.75">
      <c r="H220" s="151"/>
    </row>
    <row r="221" ht="12.75">
      <c r="H221" s="151"/>
    </row>
    <row r="222" ht="12.75">
      <c r="H222" s="151"/>
    </row>
    <row r="223" ht="12.75">
      <c r="H223" s="151"/>
    </row>
    <row r="224" ht="12.75">
      <c r="H224" s="151"/>
    </row>
    <row r="225" ht="12.75">
      <c r="H225" s="151"/>
    </row>
    <row r="226" ht="12.75">
      <c r="H226" s="151"/>
    </row>
    <row r="227" ht="12.75">
      <c r="H227" s="151"/>
    </row>
    <row r="228" ht="12.75">
      <c r="H228" s="151"/>
    </row>
    <row r="229" ht="12.75">
      <c r="H229" s="151"/>
    </row>
    <row r="230" ht="12.75">
      <c r="H230" s="151"/>
    </row>
    <row r="231" ht="12.75">
      <c r="H231" s="151"/>
    </row>
    <row r="232" ht="12.75">
      <c r="H232" s="151"/>
    </row>
    <row r="233" ht="12.75">
      <c r="H233" s="151"/>
    </row>
    <row r="234" ht="12.75">
      <c r="H234" s="151"/>
    </row>
    <row r="235" ht="12.75">
      <c r="H235" s="151"/>
    </row>
    <row r="236" ht="12.75">
      <c r="H236" s="151"/>
    </row>
    <row r="237" ht="12.75">
      <c r="H237" s="151"/>
    </row>
    <row r="238" ht="12.75">
      <c r="H238" s="151"/>
    </row>
    <row r="239" ht="12.75">
      <c r="H239" s="151"/>
    </row>
    <row r="240" ht="12.75">
      <c r="H240" s="151"/>
    </row>
    <row r="241" ht="12.75">
      <c r="H241" s="151"/>
    </row>
    <row r="242" ht="12.75">
      <c r="H242" s="151"/>
    </row>
    <row r="243" ht="12.75">
      <c r="H243" s="151"/>
    </row>
    <row r="244" ht="12.75">
      <c r="H244" s="151"/>
    </row>
    <row r="245" ht="12.75">
      <c r="H245" s="151"/>
    </row>
    <row r="246" ht="12.75">
      <c r="H246" s="151"/>
    </row>
    <row r="247" ht="12.75">
      <c r="H247" s="151"/>
    </row>
    <row r="248" ht="12.75">
      <c r="H248" s="151"/>
    </row>
    <row r="249" ht="12.75">
      <c r="H249" s="151"/>
    </row>
    <row r="250" ht="12.75">
      <c r="H250" s="151"/>
    </row>
    <row r="251" ht="12.75">
      <c r="H251" s="151"/>
    </row>
    <row r="252" ht="12.75">
      <c r="H252" s="151"/>
    </row>
    <row r="253" ht="12.75">
      <c r="H253" s="151"/>
    </row>
    <row r="254" ht="12.75">
      <c r="H254" s="151"/>
    </row>
    <row r="255" ht="12.75">
      <c r="H255" s="151"/>
    </row>
    <row r="256" ht="12.75">
      <c r="H256" s="151"/>
    </row>
    <row r="257" ht="12.75">
      <c r="H257" s="151"/>
    </row>
    <row r="258" ht="12.75">
      <c r="H258" s="151"/>
    </row>
    <row r="259" ht="12.75">
      <c r="H259" s="151"/>
    </row>
    <row r="260" ht="12.75">
      <c r="H260" s="151"/>
    </row>
    <row r="261" ht="12.75">
      <c r="H261" s="151"/>
    </row>
    <row r="262" ht="12.75">
      <c r="H262" s="151"/>
    </row>
    <row r="263" ht="12.75">
      <c r="H263" s="151"/>
    </row>
    <row r="264" ht="12.75">
      <c r="H264" s="151"/>
    </row>
    <row r="265" ht="12.75">
      <c r="H265" s="151"/>
    </row>
    <row r="266" ht="12.75">
      <c r="H266" s="151"/>
    </row>
    <row r="267" ht="12.75">
      <c r="H267" s="151"/>
    </row>
    <row r="268" ht="12.75">
      <c r="H268" s="151"/>
    </row>
    <row r="269" ht="12.75">
      <c r="H269" s="151"/>
    </row>
    <row r="270" ht="12.75">
      <c r="H270" s="151"/>
    </row>
    <row r="271" ht="12.75">
      <c r="H271" s="151"/>
    </row>
    <row r="272" ht="12.75">
      <c r="H272" s="151"/>
    </row>
    <row r="273" ht="12.75">
      <c r="H273" s="151"/>
    </row>
    <row r="274" ht="12.75">
      <c r="H274" s="151"/>
    </row>
    <row r="275" ht="12.75">
      <c r="H275" s="151"/>
    </row>
    <row r="276" ht="12.75">
      <c r="H276" s="151"/>
    </row>
    <row r="277" ht="12.75">
      <c r="H277" s="151"/>
    </row>
    <row r="278" ht="12.75">
      <c r="H278" s="151"/>
    </row>
    <row r="279" ht="12.75">
      <c r="H279" s="151"/>
    </row>
    <row r="280" ht="12.75">
      <c r="H280" s="151"/>
    </row>
    <row r="281" ht="12.75">
      <c r="H281" s="151"/>
    </row>
    <row r="282" ht="12.75">
      <c r="H282" s="151"/>
    </row>
    <row r="283" ht="12.75">
      <c r="H283" s="151"/>
    </row>
    <row r="284" ht="12.75">
      <c r="H284" s="151"/>
    </row>
    <row r="285" ht="12.75">
      <c r="H285" s="151"/>
    </row>
    <row r="286" ht="12.75">
      <c r="H286" s="151"/>
    </row>
    <row r="287" ht="12.75">
      <c r="H287" s="151"/>
    </row>
    <row r="288" ht="12.75">
      <c r="H288" s="151"/>
    </row>
    <row r="289" ht="12.75">
      <c r="H289" s="151"/>
    </row>
    <row r="290" ht="12.75">
      <c r="H290" s="151"/>
    </row>
    <row r="291" ht="12.75">
      <c r="H291" s="151"/>
    </row>
    <row r="292" ht="12.75">
      <c r="H292" s="151"/>
    </row>
    <row r="293" ht="12.75">
      <c r="H293" s="151"/>
    </row>
    <row r="294" ht="12.75">
      <c r="H294" s="151"/>
    </row>
    <row r="295" ht="12.75">
      <c r="H295" s="151"/>
    </row>
    <row r="296" ht="12.75">
      <c r="H296" s="151"/>
    </row>
    <row r="297" ht="12.75">
      <c r="H297" s="151"/>
    </row>
    <row r="298" ht="12.75">
      <c r="H298" s="151"/>
    </row>
    <row r="299" ht="12.75">
      <c r="H299" s="151"/>
    </row>
    <row r="300" ht="12.75">
      <c r="H300" s="151"/>
    </row>
    <row r="301" ht="12.75">
      <c r="H301" s="151"/>
    </row>
    <row r="302" ht="12.75">
      <c r="H302" s="151"/>
    </row>
    <row r="303" ht="12.75">
      <c r="H303" s="151"/>
    </row>
    <row r="304" ht="12.75">
      <c r="H304" s="151"/>
    </row>
    <row r="305" ht="12.75">
      <c r="H305" s="151"/>
    </row>
    <row r="306" ht="12.75">
      <c r="H306" s="151"/>
    </row>
    <row r="307" ht="12.75">
      <c r="H307" s="151"/>
    </row>
    <row r="308" ht="12.75">
      <c r="H308" s="151"/>
    </row>
    <row r="309" ht="12.75">
      <c r="H309" s="151"/>
    </row>
    <row r="310" ht="12.75">
      <c r="H310" s="151"/>
    </row>
    <row r="311" ht="12.75">
      <c r="H311" s="151"/>
    </row>
    <row r="312" ht="12.75">
      <c r="H312" s="151"/>
    </row>
    <row r="313" ht="12.75">
      <c r="H313" s="151"/>
    </row>
    <row r="314" ht="12.75">
      <c r="H314" s="151"/>
    </row>
    <row r="315" ht="12.75">
      <c r="H315" s="151"/>
    </row>
    <row r="316" ht="12.75">
      <c r="H316" s="151"/>
    </row>
    <row r="317" ht="12.75">
      <c r="H317" s="151"/>
    </row>
    <row r="318" ht="12.75">
      <c r="H318" s="151"/>
    </row>
    <row r="319" ht="12.75">
      <c r="H319" s="151"/>
    </row>
    <row r="320" ht="12.75">
      <c r="H320" s="151"/>
    </row>
    <row r="321" ht="12.75">
      <c r="H321" s="151"/>
    </row>
    <row r="322" ht="12.75">
      <c r="H322" s="151"/>
    </row>
    <row r="323" ht="12.75">
      <c r="H323" s="151"/>
    </row>
    <row r="324" ht="12.75">
      <c r="H324" s="151"/>
    </row>
    <row r="325" ht="12.75">
      <c r="H325" s="151"/>
    </row>
    <row r="326" ht="12.75">
      <c r="H326" s="151"/>
    </row>
    <row r="327" ht="12.75">
      <c r="H327" s="151"/>
    </row>
    <row r="328" ht="12.75">
      <c r="H328" s="151"/>
    </row>
    <row r="329" ht="12.75">
      <c r="H329" s="151"/>
    </row>
    <row r="330" ht="12.75">
      <c r="H330" s="151"/>
    </row>
    <row r="331" ht="12.75">
      <c r="H331" s="151"/>
    </row>
    <row r="332" ht="12.75">
      <c r="H332" s="151"/>
    </row>
    <row r="333" ht="12.75">
      <c r="H333" s="151"/>
    </row>
    <row r="334" ht="12.75">
      <c r="H334" s="151"/>
    </row>
    <row r="335" ht="12.75">
      <c r="H335" s="151"/>
    </row>
    <row r="336" ht="12.75">
      <c r="H336" s="151"/>
    </row>
    <row r="337" ht="12.75">
      <c r="H337" s="151"/>
    </row>
    <row r="338" ht="12.75">
      <c r="H338" s="151"/>
    </row>
    <row r="339" ht="12.75">
      <c r="H339" s="151"/>
    </row>
    <row r="340" ht="12.75">
      <c r="H340" s="151"/>
    </row>
    <row r="341" ht="12.75">
      <c r="H341" s="151"/>
    </row>
    <row r="342" ht="12.75">
      <c r="H342" s="151"/>
    </row>
    <row r="343" ht="12.75">
      <c r="H343" s="151"/>
    </row>
    <row r="344" ht="12.75">
      <c r="H344" s="151"/>
    </row>
    <row r="345" ht="12.75">
      <c r="H345" s="151"/>
    </row>
    <row r="346" ht="12.75">
      <c r="H346" s="151"/>
    </row>
    <row r="347" ht="12.75">
      <c r="H347" s="151"/>
    </row>
    <row r="348" ht="12.75">
      <c r="H348" s="151"/>
    </row>
    <row r="349" ht="12.75">
      <c r="H349" s="151"/>
    </row>
    <row r="350" ht="12.75">
      <c r="H350" s="151"/>
    </row>
    <row r="351" ht="12.75">
      <c r="H351" s="151"/>
    </row>
    <row r="352" ht="12.75">
      <c r="H352" s="151"/>
    </row>
    <row r="353" ht="12.75">
      <c r="H353" s="151"/>
    </row>
    <row r="354" ht="12.75">
      <c r="H354" s="151"/>
    </row>
    <row r="355" ht="12.75">
      <c r="H355" s="151"/>
    </row>
    <row r="356" ht="12.75">
      <c r="H356" s="151"/>
    </row>
    <row r="357" ht="12.75">
      <c r="H357" s="151"/>
    </row>
    <row r="358" ht="12.75">
      <c r="H358" s="151"/>
    </row>
    <row r="359" ht="12.75">
      <c r="H359" s="151"/>
    </row>
    <row r="360" ht="12.75">
      <c r="H360" s="151"/>
    </row>
    <row r="361" ht="12.75">
      <c r="H361" s="151"/>
    </row>
    <row r="362" ht="12.75">
      <c r="H362" s="151"/>
    </row>
    <row r="363" ht="12.75">
      <c r="H363" s="151"/>
    </row>
    <row r="364" ht="12.75">
      <c r="H364" s="151"/>
    </row>
    <row r="365" ht="12.75">
      <c r="H365" s="151"/>
    </row>
    <row r="366" ht="12.75">
      <c r="H366" s="151"/>
    </row>
    <row r="367" ht="12.75">
      <c r="H367" s="151"/>
    </row>
    <row r="368" ht="12.75">
      <c r="H368" s="151"/>
    </row>
    <row r="369" ht="12.75">
      <c r="H369" s="151"/>
    </row>
    <row r="370" ht="12.75">
      <c r="H370" s="151"/>
    </row>
    <row r="371" ht="12.75">
      <c r="H371" s="151"/>
    </row>
    <row r="372" ht="12.75">
      <c r="H372" s="151"/>
    </row>
    <row r="373" ht="12.75">
      <c r="H373" s="151"/>
    </row>
    <row r="374" ht="12.75">
      <c r="H374" s="151"/>
    </row>
    <row r="375" ht="12.75">
      <c r="H375" s="151"/>
    </row>
    <row r="376" ht="12.75">
      <c r="H376" s="151"/>
    </row>
    <row r="377" ht="12.75">
      <c r="H377" s="151"/>
    </row>
    <row r="378" ht="12.75">
      <c r="H378" s="151"/>
    </row>
    <row r="379" ht="12.75">
      <c r="H379" s="151"/>
    </row>
    <row r="380" ht="12.75">
      <c r="H380" s="151"/>
    </row>
    <row r="381" ht="12.75">
      <c r="H381" s="151"/>
    </row>
    <row r="382" ht="12.75">
      <c r="H382" s="151"/>
    </row>
    <row r="383" ht="12.75">
      <c r="H383" s="151"/>
    </row>
    <row r="384" ht="12.75">
      <c r="H384" s="151"/>
    </row>
    <row r="385" ht="12.75">
      <c r="H385" s="151"/>
    </row>
    <row r="386" ht="12.75">
      <c r="H386" s="151"/>
    </row>
    <row r="387" ht="12.75">
      <c r="H387" s="151"/>
    </row>
    <row r="388" ht="12.75">
      <c r="H388" s="151"/>
    </row>
    <row r="389" ht="12.75">
      <c r="H389" s="151"/>
    </row>
    <row r="390" ht="12.75">
      <c r="H390" s="151"/>
    </row>
    <row r="391" ht="12.75">
      <c r="H391" s="151"/>
    </row>
    <row r="392" ht="12.75">
      <c r="H392" s="151"/>
    </row>
    <row r="393" ht="12.75">
      <c r="H393" s="151"/>
    </row>
    <row r="394" ht="12.75">
      <c r="H394" s="151"/>
    </row>
    <row r="395" ht="12.75">
      <c r="H395" s="151"/>
    </row>
    <row r="396" ht="12.75">
      <c r="H396" s="151"/>
    </row>
    <row r="397" ht="12.75">
      <c r="H397" s="151"/>
    </row>
    <row r="398" ht="12.75">
      <c r="H398" s="151"/>
    </row>
    <row r="399" ht="12.75">
      <c r="H399" s="151"/>
    </row>
    <row r="400" ht="12.75">
      <c r="H400" s="151"/>
    </row>
    <row r="401" ht="12.75">
      <c r="H401" s="151"/>
    </row>
    <row r="402" ht="12.75">
      <c r="H402" s="151"/>
    </row>
    <row r="403" ht="12.75">
      <c r="H403" s="151"/>
    </row>
    <row r="404" ht="12.75">
      <c r="H404" s="151"/>
    </row>
    <row r="405" ht="12.75">
      <c r="H405" s="151"/>
    </row>
    <row r="406" ht="12.75">
      <c r="H406" s="151"/>
    </row>
    <row r="407" ht="12.75">
      <c r="H407" s="151"/>
    </row>
    <row r="408" ht="12.75">
      <c r="H408" s="151"/>
    </row>
    <row r="409" ht="12.75">
      <c r="H409" s="151"/>
    </row>
    <row r="410" ht="12.75">
      <c r="H410" s="151"/>
    </row>
    <row r="411" ht="12.75">
      <c r="H411" s="151"/>
    </row>
    <row r="412" ht="12.75">
      <c r="H412" s="151"/>
    </row>
    <row r="413" ht="12.75">
      <c r="H413" s="151"/>
    </row>
    <row r="414" ht="12.75">
      <c r="H414" s="151"/>
    </row>
    <row r="415" ht="12.75">
      <c r="H415" s="151"/>
    </row>
    <row r="416" ht="12.75">
      <c r="H416" s="151"/>
    </row>
    <row r="417" ht="12.75">
      <c r="H417" s="151"/>
    </row>
    <row r="418" ht="12.75">
      <c r="H418" s="151"/>
    </row>
    <row r="419" ht="12.75">
      <c r="H419" s="151"/>
    </row>
    <row r="420" ht="12.75">
      <c r="H420" s="151"/>
    </row>
    <row r="421" ht="12.75">
      <c r="H421" s="151"/>
    </row>
    <row r="422" ht="12.75">
      <c r="H422" s="151"/>
    </row>
    <row r="423" ht="12.75">
      <c r="H423" s="151"/>
    </row>
    <row r="424" ht="12.75">
      <c r="H424" s="151"/>
    </row>
    <row r="425" ht="12.75">
      <c r="H425" s="151"/>
    </row>
    <row r="426" ht="12.75">
      <c r="H426" s="151"/>
    </row>
    <row r="427" ht="12.75">
      <c r="H427" s="151"/>
    </row>
    <row r="428" ht="12.75">
      <c r="H428" s="151"/>
    </row>
    <row r="429" ht="12.75">
      <c r="H429" s="151"/>
    </row>
    <row r="430" ht="12.75">
      <c r="H430" s="151"/>
    </row>
    <row r="431" ht="12.75">
      <c r="H431" s="151"/>
    </row>
    <row r="432" ht="12.75">
      <c r="H432" s="151"/>
    </row>
    <row r="433" ht="12.75">
      <c r="H433" s="151"/>
    </row>
    <row r="434" ht="12.75">
      <c r="H434" s="151"/>
    </row>
    <row r="435" ht="12.75">
      <c r="H435" s="151"/>
    </row>
    <row r="436" ht="12.75">
      <c r="H436" s="151"/>
    </row>
    <row r="437" ht="12.75">
      <c r="H437" s="151"/>
    </row>
    <row r="438" ht="12.75">
      <c r="H438" s="151"/>
    </row>
    <row r="439" ht="12.75">
      <c r="H439" s="151"/>
    </row>
    <row r="440" ht="12.75">
      <c r="H440" s="151"/>
    </row>
    <row r="441" ht="12.75">
      <c r="H441" s="151"/>
    </row>
    <row r="442" ht="12.75">
      <c r="H442" s="151"/>
    </row>
    <row r="443" ht="12.75">
      <c r="H443" s="151"/>
    </row>
    <row r="444" ht="12.75">
      <c r="H444" s="151"/>
    </row>
    <row r="445" ht="12.75">
      <c r="H445" s="151"/>
    </row>
    <row r="446" ht="12.75">
      <c r="H446" s="151"/>
    </row>
    <row r="447" ht="12.75">
      <c r="H447" s="151"/>
    </row>
    <row r="448" ht="12.75">
      <c r="H448" s="151"/>
    </row>
    <row r="449" ht="12.75">
      <c r="H449" s="151"/>
    </row>
    <row r="450" ht="12.75">
      <c r="H450" s="151"/>
    </row>
    <row r="451" ht="12.75">
      <c r="H451" s="151"/>
    </row>
    <row r="452" ht="12.75">
      <c r="H452" s="151"/>
    </row>
    <row r="453" ht="12.75">
      <c r="H453" s="151"/>
    </row>
    <row r="454" ht="12.75">
      <c r="H454" s="151"/>
    </row>
    <row r="455" ht="12.75">
      <c r="H455" s="151"/>
    </row>
    <row r="456" ht="12.75">
      <c r="H456" s="151"/>
    </row>
    <row r="457" ht="12.75">
      <c r="H457" s="151"/>
    </row>
    <row r="458" ht="12.75">
      <c r="H458" s="151"/>
    </row>
    <row r="459" ht="12.75">
      <c r="H459" s="151"/>
    </row>
    <row r="460" ht="12.75">
      <c r="H460" s="151"/>
    </row>
    <row r="461" ht="12.75">
      <c r="H461" s="151"/>
    </row>
    <row r="462" ht="12.75">
      <c r="H462" s="151"/>
    </row>
    <row r="463" ht="12.75">
      <c r="H463" s="151"/>
    </row>
    <row r="464" ht="12.75">
      <c r="H464" s="151"/>
    </row>
    <row r="465" ht="12.75">
      <c r="H465" s="151"/>
    </row>
    <row r="466" ht="12.75">
      <c r="H466" s="151"/>
    </row>
    <row r="467" ht="12.75">
      <c r="H467" s="151"/>
    </row>
    <row r="468" ht="12.75">
      <c r="H468" s="151"/>
    </row>
    <row r="469" ht="12.75">
      <c r="H469" s="151"/>
    </row>
    <row r="470" ht="12.75">
      <c r="H470" s="151"/>
    </row>
    <row r="471" ht="12.75">
      <c r="H471" s="151"/>
    </row>
    <row r="472" ht="12.75">
      <c r="H472" s="151"/>
    </row>
    <row r="473" ht="12.75">
      <c r="H473" s="151"/>
    </row>
    <row r="474" ht="12.75">
      <c r="H474" s="151"/>
    </row>
    <row r="475" ht="12.75">
      <c r="H475" s="151"/>
    </row>
    <row r="476" ht="12.75">
      <c r="H476" s="151"/>
    </row>
    <row r="477" ht="12.75">
      <c r="H477" s="151"/>
    </row>
    <row r="478" ht="12.75">
      <c r="H478" s="151"/>
    </row>
    <row r="479" ht="12.75">
      <c r="H479" s="151"/>
    </row>
    <row r="480" ht="12.75">
      <c r="H480" s="151"/>
    </row>
    <row r="481" ht="12.75">
      <c r="H481" s="151"/>
    </row>
    <row r="482" ht="12.75">
      <c r="H482" s="151"/>
    </row>
    <row r="483" ht="12.75">
      <c r="H483" s="151"/>
    </row>
    <row r="484" ht="12.75">
      <c r="H484" s="151"/>
    </row>
    <row r="485" ht="12.75">
      <c r="H485" s="151"/>
    </row>
    <row r="486" ht="12.75">
      <c r="H486" s="151"/>
    </row>
    <row r="487" ht="12.75">
      <c r="H487" s="151"/>
    </row>
    <row r="488" ht="12.75">
      <c r="H488" s="151"/>
    </row>
    <row r="489" ht="12.75">
      <c r="H489" s="151"/>
    </row>
    <row r="490" ht="12.75">
      <c r="H490" s="151"/>
    </row>
    <row r="491" ht="12.75">
      <c r="H491" s="151"/>
    </row>
    <row r="492" ht="12.75">
      <c r="H492" s="151"/>
    </row>
    <row r="493" ht="12.75">
      <c r="H493" s="151"/>
    </row>
    <row r="494" ht="12.75">
      <c r="H494" s="151"/>
    </row>
    <row r="495" ht="12.75">
      <c r="H495" s="151"/>
    </row>
    <row r="496" ht="12.75">
      <c r="H496" s="151"/>
    </row>
    <row r="497" ht="12.75">
      <c r="H497" s="151"/>
    </row>
    <row r="498" ht="12.75">
      <c r="H498" s="151"/>
    </row>
    <row r="499" ht="12.75">
      <c r="H499" s="151"/>
    </row>
    <row r="500" ht="12.75">
      <c r="H500" s="151"/>
    </row>
    <row r="501" ht="12.75">
      <c r="H501" s="151"/>
    </row>
    <row r="502" ht="12.75">
      <c r="H502" s="151"/>
    </row>
    <row r="503" ht="12.75">
      <c r="H503" s="151"/>
    </row>
    <row r="504" ht="12.75">
      <c r="H504" s="151"/>
    </row>
    <row r="505" ht="12.75">
      <c r="H505" s="151"/>
    </row>
    <row r="506" ht="12.75">
      <c r="H506" s="151"/>
    </row>
    <row r="507" ht="12.75">
      <c r="H507" s="151"/>
    </row>
    <row r="508" ht="12.75">
      <c r="H508" s="151"/>
    </row>
    <row r="509" ht="12.75">
      <c r="H509" s="151"/>
    </row>
    <row r="510" ht="12.75">
      <c r="H510" s="151"/>
    </row>
    <row r="511" ht="12.75">
      <c r="H511" s="151"/>
    </row>
    <row r="512" ht="12.75">
      <c r="H512" s="151"/>
    </row>
    <row r="513" ht="12.75">
      <c r="H513" s="151"/>
    </row>
    <row r="514" ht="12.75">
      <c r="H514" s="151"/>
    </row>
    <row r="515" ht="12.75">
      <c r="H515" s="151"/>
    </row>
    <row r="516" ht="12.75">
      <c r="H516" s="151"/>
    </row>
    <row r="517" ht="12.75">
      <c r="H517" s="151"/>
    </row>
    <row r="518" ht="12.75">
      <c r="H518" s="151"/>
    </row>
    <row r="519" ht="12.75">
      <c r="H519" s="151"/>
    </row>
    <row r="520" ht="12.75">
      <c r="H520" s="151"/>
    </row>
    <row r="521" ht="12.75">
      <c r="H521" s="151"/>
    </row>
    <row r="522" ht="12.75">
      <c r="H522" s="151"/>
    </row>
    <row r="523" ht="12.75">
      <c r="H523" s="151"/>
    </row>
    <row r="524" ht="12.75">
      <c r="H524" s="151"/>
    </row>
    <row r="525" ht="12.75">
      <c r="H525" s="151"/>
    </row>
    <row r="526" ht="12.75">
      <c r="H526" s="151"/>
    </row>
    <row r="527" ht="12.75">
      <c r="H527" s="151"/>
    </row>
    <row r="528" ht="12.75">
      <c r="H528" s="151"/>
    </row>
    <row r="529" ht="12.75">
      <c r="H529" s="151"/>
    </row>
    <row r="530" ht="12.75">
      <c r="H530" s="151"/>
    </row>
    <row r="531" ht="12.75">
      <c r="H531" s="151"/>
    </row>
    <row r="532" ht="12.75">
      <c r="H532" s="151"/>
    </row>
    <row r="533" ht="12.75">
      <c r="H533" s="151"/>
    </row>
    <row r="534" ht="12.75">
      <c r="H534" s="151"/>
    </row>
    <row r="535" ht="12.75">
      <c r="H535" s="151"/>
    </row>
    <row r="536" ht="12.75">
      <c r="H536" s="151"/>
    </row>
    <row r="537" ht="12.75">
      <c r="H537" s="151"/>
    </row>
    <row r="538" ht="12.75">
      <c r="H538" s="151"/>
    </row>
    <row r="539" ht="12.75">
      <c r="H539" s="151"/>
    </row>
    <row r="540" ht="12.75">
      <c r="H540" s="151"/>
    </row>
    <row r="541" ht="12.75">
      <c r="H541" s="151"/>
    </row>
    <row r="542" ht="12.75">
      <c r="H542" s="151"/>
    </row>
    <row r="543" ht="12.75">
      <c r="H543" s="151"/>
    </row>
    <row r="544" ht="12.75">
      <c r="H544" s="151"/>
    </row>
    <row r="545" ht="12.75">
      <c r="H545" s="151"/>
    </row>
    <row r="546" ht="12.75">
      <c r="H546" s="151"/>
    </row>
    <row r="547" ht="12.75">
      <c r="H547" s="151"/>
    </row>
    <row r="548" ht="12.75">
      <c r="H548" s="151"/>
    </row>
    <row r="549" ht="12.75">
      <c r="H549" s="151"/>
    </row>
    <row r="550" ht="12.75">
      <c r="H550" s="151"/>
    </row>
    <row r="551" ht="12.75">
      <c r="H551" s="151"/>
    </row>
    <row r="552" ht="12.75">
      <c r="H552" s="151"/>
    </row>
    <row r="553" ht="12.75">
      <c r="H553" s="151"/>
    </row>
    <row r="554" ht="12.75">
      <c r="H554" s="151"/>
    </row>
    <row r="555" ht="12.75">
      <c r="H555" s="151"/>
    </row>
    <row r="556" ht="12.75">
      <c r="H556" s="151"/>
    </row>
    <row r="557" ht="12.75">
      <c r="H557" s="151"/>
    </row>
    <row r="558" ht="12.75">
      <c r="H558" s="151"/>
    </row>
    <row r="559" ht="12.75">
      <c r="H559" s="151"/>
    </row>
    <row r="560" ht="12.75">
      <c r="H560" s="151"/>
    </row>
    <row r="561" ht="12.75">
      <c r="H561" s="151"/>
    </row>
    <row r="562" ht="12.75">
      <c r="H562" s="151"/>
    </row>
    <row r="563" ht="12.75">
      <c r="H563" s="151"/>
    </row>
    <row r="564" ht="12.75">
      <c r="H564" s="151"/>
    </row>
    <row r="565" ht="12.75">
      <c r="H565" s="151"/>
    </row>
    <row r="566" ht="12.75">
      <c r="H566" s="151"/>
    </row>
    <row r="567" ht="12.75">
      <c r="H567" s="151"/>
    </row>
    <row r="568" ht="12.75">
      <c r="H568" s="151"/>
    </row>
    <row r="569" ht="12.75">
      <c r="H569" s="151"/>
    </row>
    <row r="570" ht="12.75">
      <c r="H570" s="151"/>
    </row>
    <row r="571" ht="12.75">
      <c r="H571" s="151"/>
    </row>
    <row r="572" ht="12.75">
      <c r="H572" s="151"/>
    </row>
    <row r="573" ht="12.75">
      <c r="H573" s="151"/>
    </row>
    <row r="574" ht="12.75">
      <c r="H574" s="151"/>
    </row>
    <row r="575" ht="12.75">
      <c r="H575" s="151"/>
    </row>
    <row r="576" ht="12.75">
      <c r="H576" s="151"/>
    </row>
    <row r="577" ht="12.75">
      <c r="H577" s="151"/>
    </row>
    <row r="578" ht="12.75">
      <c r="H578" s="151"/>
    </row>
    <row r="579" ht="12.75">
      <c r="H579" s="151"/>
    </row>
    <row r="580" ht="12.75">
      <c r="H580" s="151"/>
    </row>
    <row r="581" ht="12.75">
      <c r="H581" s="151"/>
    </row>
    <row r="582" ht="12.75">
      <c r="H582" s="151"/>
    </row>
    <row r="583" ht="12.75">
      <c r="H583" s="151"/>
    </row>
    <row r="584" ht="12.75">
      <c r="H584" s="151"/>
    </row>
    <row r="585" ht="12.75">
      <c r="H585" s="151"/>
    </row>
    <row r="586" ht="12.75">
      <c r="H586" s="151"/>
    </row>
    <row r="587" ht="12.75">
      <c r="H587" s="151"/>
    </row>
    <row r="588" ht="12.75">
      <c r="H588" s="151"/>
    </row>
    <row r="589" ht="12.75">
      <c r="H589" s="151"/>
    </row>
    <row r="590" ht="12.75">
      <c r="H590" s="151"/>
    </row>
    <row r="591" ht="12.75">
      <c r="H591" s="151"/>
    </row>
    <row r="592" ht="12.75">
      <c r="H592" s="151"/>
    </row>
    <row r="593" ht="12.75">
      <c r="H593" s="151"/>
    </row>
    <row r="594" ht="12.75">
      <c r="H594" s="151"/>
    </row>
    <row r="595" ht="12.75">
      <c r="H595" s="151"/>
    </row>
    <row r="596" ht="12.75">
      <c r="H596" s="151"/>
    </row>
    <row r="597" ht="12.75">
      <c r="H597" s="151"/>
    </row>
    <row r="598" ht="12.75">
      <c r="H598" s="151"/>
    </row>
    <row r="599" ht="12.75">
      <c r="H599" s="151"/>
    </row>
    <row r="600" ht="12.75">
      <c r="H600" s="151"/>
    </row>
    <row r="601" ht="12.75">
      <c r="H601" s="151"/>
    </row>
    <row r="602" ht="12.75">
      <c r="H602" s="151"/>
    </row>
    <row r="603" ht="12.75">
      <c r="H603" s="151"/>
    </row>
    <row r="604" ht="12.75">
      <c r="H604" s="151"/>
    </row>
    <row r="605" ht="12.75">
      <c r="H605" s="151"/>
    </row>
    <row r="606" ht="12.75">
      <c r="H606" s="151"/>
    </row>
    <row r="607" ht="12.75">
      <c r="H607" s="151"/>
    </row>
    <row r="608" ht="12.75">
      <c r="H608" s="151"/>
    </row>
    <row r="609" ht="12.75">
      <c r="H609" s="151"/>
    </row>
    <row r="610" ht="12.75">
      <c r="H610" s="151"/>
    </row>
    <row r="611" ht="12.75">
      <c r="H611" s="151"/>
    </row>
    <row r="612" ht="12.75">
      <c r="H612" s="151"/>
    </row>
    <row r="613" ht="12.75">
      <c r="H613" s="151"/>
    </row>
    <row r="614" ht="12.75">
      <c r="H614" s="151"/>
    </row>
    <row r="615" ht="12.75">
      <c r="H615" s="151"/>
    </row>
    <row r="616" ht="12.75">
      <c r="H616" s="151"/>
    </row>
    <row r="617" ht="12.75">
      <c r="H617" s="151"/>
    </row>
    <row r="618" ht="12.75">
      <c r="H618" s="151"/>
    </row>
    <row r="619" ht="12.75">
      <c r="H619" s="151"/>
    </row>
    <row r="620" ht="12.75">
      <c r="H620" s="151"/>
    </row>
    <row r="621" ht="12.75">
      <c r="H621" s="151"/>
    </row>
    <row r="622" ht="12.75">
      <c r="H622" s="151"/>
    </row>
    <row r="623" ht="12.75">
      <c r="H623" s="151"/>
    </row>
    <row r="624" ht="12.75">
      <c r="H624" s="151"/>
    </row>
    <row r="625" ht="12.75">
      <c r="H625" s="151"/>
    </row>
    <row r="626" ht="12.75">
      <c r="H626" s="151"/>
    </row>
    <row r="627" ht="12.75">
      <c r="H627" s="151"/>
    </row>
    <row r="628" ht="12.75">
      <c r="H628" s="151"/>
    </row>
    <row r="629" ht="12.75">
      <c r="H629" s="151"/>
    </row>
    <row r="630" ht="12.75">
      <c r="H630" s="151"/>
    </row>
    <row r="631" ht="12.75">
      <c r="H631" s="151"/>
    </row>
    <row r="632" ht="12.75">
      <c r="H632" s="151"/>
    </row>
    <row r="633" ht="12.75">
      <c r="H633" s="151"/>
    </row>
    <row r="634" ht="12.75">
      <c r="H634" s="151"/>
    </row>
    <row r="635" ht="12.75">
      <c r="H635" s="151"/>
    </row>
    <row r="636" ht="12.75">
      <c r="H636" s="151"/>
    </row>
    <row r="637" ht="12.75">
      <c r="H637" s="151"/>
    </row>
    <row r="638" ht="12.75">
      <c r="H638" s="151"/>
    </row>
    <row r="639" ht="12.75">
      <c r="H639" s="151"/>
    </row>
    <row r="640" ht="12.75">
      <c r="H640" s="151"/>
    </row>
    <row r="641" ht="12.75">
      <c r="H641" s="151"/>
    </row>
    <row r="642" ht="12.75">
      <c r="H642" s="151"/>
    </row>
    <row r="643" ht="12.75">
      <c r="H643" s="151"/>
    </row>
    <row r="644" ht="12.75">
      <c r="H644" s="151"/>
    </row>
    <row r="645" ht="12.75">
      <c r="H645" s="151"/>
    </row>
    <row r="646" ht="12.75">
      <c r="H646" s="151"/>
    </row>
    <row r="647" ht="12.75">
      <c r="H647" s="151"/>
    </row>
    <row r="648" ht="12.75">
      <c r="H648" s="151"/>
    </row>
    <row r="649" ht="12.75">
      <c r="H649" s="151"/>
    </row>
    <row r="650" ht="12.75">
      <c r="H650" s="151"/>
    </row>
    <row r="651" ht="12.75">
      <c r="H651" s="151"/>
    </row>
    <row r="652" ht="12.75">
      <c r="H652" s="151"/>
    </row>
    <row r="653" ht="12.75">
      <c r="H653" s="151"/>
    </row>
    <row r="654" ht="12.75">
      <c r="H654" s="151"/>
    </row>
    <row r="655" ht="12.75">
      <c r="H655" s="151"/>
    </row>
    <row r="656" ht="12.75">
      <c r="H656" s="151"/>
    </row>
    <row r="657" ht="12.75">
      <c r="H657" s="151"/>
    </row>
    <row r="658" ht="12.75">
      <c r="H658" s="151"/>
    </row>
    <row r="659" ht="12.75">
      <c r="H659" s="151"/>
    </row>
    <row r="660" ht="12.75">
      <c r="H660" s="151"/>
    </row>
    <row r="661" ht="12.75">
      <c r="H661" s="151"/>
    </row>
    <row r="662" ht="12.75">
      <c r="H662" s="151"/>
    </row>
    <row r="663" ht="12.75">
      <c r="H663" s="151"/>
    </row>
    <row r="664" ht="12.75">
      <c r="H664" s="151"/>
    </row>
    <row r="665" ht="12.75">
      <c r="H665" s="151"/>
    </row>
    <row r="666" ht="12.75">
      <c r="H666" s="151"/>
    </row>
    <row r="667" ht="12.75">
      <c r="H667" s="151"/>
    </row>
    <row r="668" ht="12.75">
      <c r="H668" s="151"/>
    </row>
    <row r="669" ht="12.75">
      <c r="H669" s="151"/>
    </row>
    <row r="670" ht="12.75">
      <c r="H670" s="151"/>
    </row>
    <row r="671" ht="12.75">
      <c r="H671" s="151"/>
    </row>
    <row r="672" ht="12.75">
      <c r="H672" s="151"/>
    </row>
    <row r="673" ht="12.75">
      <c r="H673" s="151"/>
    </row>
    <row r="674" ht="12.75">
      <c r="H674" s="151"/>
    </row>
    <row r="675" ht="12.75">
      <c r="H675" s="151"/>
    </row>
    <row r="676" ht="12.75">
      <c r="H676" s="151"/>
    </row>
    <row r="677" ht="12.75">
      <c r="H677" s="151"/>
    </row>
    <row r="678" ht="12.75">
      <c r="H678" s="151"/>
    </row>
    <row r="679" ht="12.75">
      <c r="H679" s="151"/>
    </row>
    <row r="680" ht="12.75">
      <c r="H680" s="151"/>
    </row>
    <row r="681" ht="12.75">
      <c r="H681" s="151"/>
    </row>
    <row r="682" ht="12.75">
      <c r="H682" s="151"/>
    </row>
    <row r="683" ht="12.75">
      <c r="H683" s="151"/>
    </row>
    <row r="684" ht="12.75">
      <c r="H684" s="151"/>
    </row>
    <row r="685" ht="12.75">
      <c r="H685" s="151"/>
    </row>
    <row r="686" ht="12.75">
      <c r="H686" s="151"/>
    </row>
    <row r="687" ht="12.75">
      <c r="H687" s="151"/>
    </row>
    <row r="688" ht="12.75">
      <c r="H688" s="151"/>
    </row>
    <row r="689" ht="12.75">
      <c r="H689" s="151"/>
    </row>
    <row r="690" ht="12.75">
      <c r="H690" s="151"/>
    </row>
    <row r="691" ht="12.75">
      <c r="H691" s="151"/>
    </row>
    <row r="692" ht="12.75">
      <c r="H692" s="151"/>
    </row>
    <row r="693" ht="12.75">
      <c r="H693" s="151"/>
    </row>
    <row r="694" ht="12.75">
      <c r="H694" s="151"/>
    </row>
    <row r="695" ht="12.75">
      <c r="H695" s="151"/>
    </row>
    <row r="696" ht="12.75">
      <c r="H696" s="151"/>
    </row>
    <row r="697" ht="12.75">
      <c r="H697" s="151"/>
    </row>
    <row r="698" ht="12.75">
      <c r="H698" s="151"/>
    </row>
    <row r="699" ht="12.75">
      <c r="H699" s="151"/>
    </row>
    <row r="700" ht="12.75">
      <c r="H700" s="151"/>
    </row>
    <row r="701" ht="12.75">
      <c r="H701" s="151"/>
    </row>
    <row r="702" ht="12.75">
      <c r="H702" s="151"/>
    </row>
    <row r="703" ht="12.75">
      <c r="H703" s="151"/>
    </row>
    <row r="704" ht="12.75">
      <c r="H704" s="151"/>
    </row>
    <row r="705" ht="12.75">
      <c r="H705" s="151"/>
    </row>
    <row r="706" ht="12.75">
      <c r="H706" s="151"/>
    </row>
    <row r="707" ht="12.75">
      <c r="H707" s="151"/>
    </row>
    <row r="708" ht="12.75">
      <c r="H708" s="151"/>
    </row>
    <row r="709" ht="12.75">
      <c r="H709" s="151"/>
    </row>
    <row r="710" ht="12.75">
      <c r="H710" s="151"/>
    </row>
    <row r="711" ht="12.75">
      <c r="H711" s="151"/>
    </row>
    <row r="712" ht="12.75">
      <c r="H712" s="151"/>
    </row>
    <row r="713" ht="12.75">
      <c r="H713" s="151"/>
    </row>
    <row r="714" ht="12.75">
      <c r="H714" s="151"/>
    </row>
    <row r="715" ht="12.75">
      <c r="H715" s="151"/>
    </row>
    <row r="716" ht="12.75">
      <c r="H716" s="151"/>
    </row>
    <row r="717" ht="12.75">
      <c r="H717" s="151"/>
    </row>
    <row r="718" ht="12.75">
      <c r="H718" s="151"/>
    </row>
    <row r="719" ht="12.75">
      <c r="H719" s="151"/>
    </row>
    <row r="720" ht="12.75">
      <c r="H720" s="151"/>
    </row>
    <row r="721" ht="12.75">
      <c r="H721" s="151"/>
    </row>
    <row r="722" ht="12.75">
      <c r="H722" s="151"/>
    </row>
    <row r="723" ht="12.75">
      <c r="H723" s="151"/>
    </row>
    <row r="724" ht="12.75">
      <c r="H724" s="151"/>
    </row>
    <row r="725" ht="12.75">
      <c r="H725" s="151"/>
    </row>
    <row r="726" ht="12.75">
      <c r="H726" s="151"/>
    </row>
    <row r="727" ht="12.75">
      <c r="H727" s="151"/>
    </row>
    <row r="728" ht="12.75">
      <c r="H728" s="151"/>
    </row>
    <row r="729" ht="12.75">
      <c r="H729" s="151"/>
    </row>
    <row r="730" ht="12.75">
      <c r="H730" s="151"/>
    </row>
    <row r="731" ht="12.75">
      <c r="H731" s="151"/>
    </row>
    <row r="732" ht="12.75">
      <c r="H732" s="151"/>
    </row>
    <row r="733" ht="12.75">
      <c r="H733" s="151"/>
    </row>
    <row r="734" ht="12.75">
      <c r="H734" s="151"/>
    </row>
    <row r="735" ht="12.75">
      <c r="H735" s="151"/>
    </row>
    <row r="736" ht="12.75">
      <c r="H736" s="151"/>
    </row>
    <row r="737" ht="12.75">
      <c r="H737" s="151"/>
    </row>
    <row r="738" ht="12.75">
      <c r="H738" s="151"/>
    </row>
    <row r="739" ht="12.75">
      <c r="H739" s="151"/>
    </row>
    <row r="740" ht="12.75">
      <c r="H740" s="151"/>
    </row>
    <row r="741" ht="12.75">
      <c r="H741" s="151"/>
    </row>
    <row r="742" ht="12.75">
      <c r="H742" s="151"/>
    </row>
    <row r="743" ht="12.75">
      <c r="H743" s="151"/>
    </row>
    <row r="744" ht="12.75">
      <c r="H744" s="151"/>
    </row>
    <row r="745" ht="12.75">
      <c r="H745" s="151"/>
    </row>
    <row r="746" ht="12.75">
      <c r="H746" s="151"/>
    </row>
    <row r="747" ht="12.75">
      <c r="H747" s="151"/>
    </row>
    <row r="748" ht="12.75">
      <c r="H748" s="151"/>
    </row>
    <row r="749" ht="12.75">
      <c r="H749" s="151"/>
    </row>
    <row r="750" ht="12.75">
      <c r="H750" s="151"/>
    </row>
    <row r="751" ht="12.75">
      <c r="H751" s="151"/>
    </row>
    <row r="752" ht="12.75">
      <c r="H752" s="151"/>
    </row>
    <row r="753" ht="12.75">
      <c r="H753" s="151"/>
    </row>
    <row r="754" ht="12.75">
      <c r="H754" s="151"/>
    </row>
    <row r="755" ht="12.75">
      <c r="H755" s="151"/>
    </row>
    <row r="756" ht="12.75">
      <c r="H756" s="151"/>
    </row>
    <row r="757" ht="12.75">
      <c r="H757" s="151"/>
    </row>
    <row r="758" ht="12.75">
      <c r="H758" s="151"/>
    </row>
    <row r="759" ht="12.75">
      <c r="H759" s="151"/>
    </row>
    <row r="760" ht="12.75">
      <c r="H760" s="151"/>
    </row>
    <row r="761" ht="12.75">
      <c r="H761" s="151"/>
    </row>
    <row r="762" ht="12.75">
      <c r="H762" s="151"/>
    </row>
    <row r="763" ht="12.75">
      <c r="H763" s="151"/>
    </row>
    <row r="764" ht="12.75">
      <c r="H764" s="151"/>
    </row>
    <row r="765" ht="12.75">
      <c r="H765" s="151"/>
    </row>
    <row r="766" ht="12.75">
      <c r="H766" s="151"/>
    </row>
    <row r="767" ht="12.75">
      <c r="H767" s="151"/>
    </row>
    <row r="768" ht="12.75">
      <c r="H768" s="151"/>
    </row>
    <row r="769" ht="12.75">
      <c r="H769" s="151"/>
    </row>
    <row r="770" ht="12.75">
      <c r="H770" s="151"/>
    </row>
    <row r="771" ht="12.75">
      <c r="H771" s="151"/>
    </row>
    <row r="772" ht="12.75">
      <c r="H772" s="151"/>
    </row>
    <row r="773" ht="12.75">
      <c r="H773" s="151"/>
    </row>
    <row r="774" ht="12.75">
      <c r="H774" s="151"/>
    </row>
    <row r="775" ht="12.75">
      <c r="H775" s="151"/>
    </row>
    <row r="776" ht="12.75">
      <c r="H776" s="151"/>
    </row>
    <row r="777" ht="12.75">
      <c r="H777" s="151"/>
    </row>
    <row r="778" ht="12.75">
      <c r="H778" s="151"/>
    </row>
    <row r="779" ht="12.75">
      <c r="H779" s="151"/>
    </row>
    <row r="780" ht="12.75">
      <c r="H780" s="151"/>
    </row>
    <row r="781" ht="12.75">
      <c r="H781" s="151"/>
    </row>
    <row r="782" ht="12.75">
      <c r="H782" s="151"/>
    </row>
    <row r="783" ht="12.75">
      <c r="H783" s="151"/>
    </row>
    <row r="784" ht="12.75">
      <c r="H784" s="151"/>
    </row>
    <row r="785" ht="12.75">
      <c r="H785" s="151"/>
    </row>
    <row r="786" ht="12.75">
      <c r="H786" s="151"/>
    </row>
    <row r="787" ht="12.75">
      <c r="H787" s="151"/>
    </row>
    <row r="788" ht="12.75">
      <c r="H788" s="151"/>
    </row>
    <row r="789" ht="12.75">
      <c r="H789" s="151"/>
    </row>
    <row r="790" ht="12.75">
      <c r="H790" s="151"/>
    </row>
    <row r="791" ht="12.75">
      <c r="H791" s="151"/>
    </row>
    <row r="792" ht="12.75">
      <c r="H792" s="151"/>
    </row>
    <row r="793" ht="12.75">
      <c r="H793" s="151"/>
    </row>
    <row r="794" ht="12.75">
      <c r="H794" s="151"/>
    </row>
    <row r="795" ht="12.75">
      <c r="H795" s="151"/>
    </row>
    <row r="796" ht="12.75">
      <c r="H796" s="151"/>
    </row>
    <row r="797" ht="12.75">
      <c r="H797" s="151"/>
    </row>
    <row r="798" ht="12.75">
      <c r="H798" s="151"/>
    </row>
    <row r="799" ht="12.75">
      <c r="H799" s="151"/>
    </row>
    <row r="800" ht="12.75">
      <c r="H800" s="151"/>
    </row>
    <row r="801" ht="12.75">
      <c r="H801" s="151"/>
    </row>
    <row r="802" ht="12.75">
      <c r="H802" s="151"/>
    </row>
    <row r="803" ht="12.75">
      <c r="H803" s="151"/>
    </row>
    <row r="804" ht="12.75">
      <c r="H804" s="151"/>
    </row>
    <row r="805" ht="12.75">
      <c r="H805" s="151"/>
    </row>
    <row r="806" ht="12.75">
      <c r="H806" s="151"/>
    </row>
    <row r="807" ht="12.75">
      <c r="H807" s="151"/>
    </row>
    <row r="808" ht="12.75">
      <c r="H808" s="151"/>
    </row>
    <row r="809" ht="12.75">
      <c r="H809" s="151"/>
    </row>
    <row r="810" ht="12.75">
      <c r="H810" s="151"/>
    </row>
    <row r="811" ht="12.75">
      <c r="H811" s="151"/>
    </row>
    <row r="812" ht="12.75">
      <c r="H812" s="151"/>
    </row>
    <row r="813" ht="12.75">
      <c r="H813" s="151"/>
    </row>
    <row r="814" ht="12.75">
      <c r="H814" s="151"/>
    </row>
    <row r="815" ht="12.75">
      <c r="H815" s="151"/>
    </row>
    <row r="816" ht="12.75">
      <c r="H816" s="151"/>
    </row>
    <row r="817" ht="12.75">
      <c r="H817" s="151"/>
    </row>
    <row r="818" ht="12.75">
      <c r="H818" s="151"/>
    </row>
    <row r="819" ht="12.75">
      <c r="H819" s="151"/>
    </row>
    <row r="820" ht="12.75">
      <c r="H820" s="151"/>
    </row>
    <row r="821" ht="12.75">
      <c r="H821" s="151"/>
    </row>
    <row r="822" ht="12.75">
      <c r="H822" s="151"/>
    </row>
    <row r="823" ht="12.75">
      <c r="H823" s="151"/>
    </row>
    <row r="824" ht="12.75">
      <c r="H824" s="151"/>
    </row>
    <row r="825" ht="12.75">
      <c r="H825" s="151"/>
    </row>
    <row r="826" ht="12.75">
      <c r="H826" s="151"/>
    </row>
    <row r="827" ht="12.75">
      <c r="H827" s="151"/>
    </row>
    <row r="828" ht="12.75">
      <c r="H828" s="151"/>
    </row>
    <row r="829" ht="12.75">
      <c r="H829" s="151"/>
    </row>
    <row r="830" ht="12.75">
      <c r="H830" s="151"/>
    </row>
    <row r="831" ht="12.75">
      <c r="H831" s="151"/>
    </row>
    <row r="832" ht="12.75">
      <c r="H832" s="151"/>
    </row>
    <row r="833" ht="12.75">
      <c r="H833" s="151"/>
    </row>
    <row r="834" ht="12.75">
      <c r="H834" s="151"/>
    </row>
    <row r="835" ht="12.75">
      <c r="H835" s="151"/>
    </row>
    <row r="836" ht="12.75">
      <c r="H836" s="151"/>
    </row>
    <row r="837" ht="12.75">
      <c r="H837" s="151"/>
    </row>
    <row r="838" ht="12.75">
      <c r="H838" s="151"/>
    </row>
    <row r="839" ht="12.75">
      <c r="H839" s="151"/>
    </row>
    <row r="840" ht="12.75">
      <c r="H840" s="151"/>
    </row>
    <row r="841" ht="12.75">
      <c r="H841" s="151"/>
    </row>
    <row r="842" ht="12.75">
      <c r="H842" s="151"/>
    </row>
    <row r="843" ht="12.75">
      <c r="H843" s="151"/>
    </row>
    <row r="844" ht="12.75">
      <c r="H844" s="151"/>
    </row>
    <row r="845" ht="12.75">
      <c r="H845" s="151"/>
    </row>
    <row r="846" ht="12.75">
      <c r="H846" s="151"/>
    </row>
    <row r="847" ht="12.75">
      <c r="H847" s="151"/>
    </row>
    <row r="848" ht="12.75">
      <c r="H848" s="151"/>
    </row>
    <row r="849" ht="12.75">
      <c r="H849" s="151"/>
    </row>
    <row r="850" ht="12.75">
      <c r="H850" s="151"/>
    </row>
    <row r="851" ht="12.75">
      <c r="H851" s="151"/>
    </row>
    <row r="852" ht="12.75">
      <c r="H852" s="151"/>
    </row>
    <row r="853" ht="12.75">
      <c r="H853" s="151"/>
    </row>
    <row r="854" ht="12.75">
      <c r="H854" s="151"/>
    </row>
    <row r="855" ht="12.75">
      <c r="H855" s="151"/>
    </row>
    <row r="856" ht="12.75">
      <c r="H856" s="151"/>
    </row>
    <row r="857" ht="12.75">
      <c r="H857" s="151"/>
    </row>
    <row r="858" ht="12.75">
      <c r="H858" s="151"/>
    </row>
    <row r="859" ht="12.75">
      <c r="H859" s="151"/>
    </row>
    <row r="860" ht="12.75">
      <c r="H860" s="151"/>
    </row>
    <row r="861" ht="12.75">
      <c r="H861" s="151"/>
    </row>
    <row r="862" ht="12.75">
      <c r="H862" s="151"/>
    </row>
    <row r="863" ht="12.75">
      <c r="H863" s="151"/>
    </row>
    <row r="864" ht="12.75">
      <c r="H864" s="151"/>
    </row>
    <row r="865" ht="12.75">
      <c r="H865" s="151"/>
    </row>
    <row r="866" ht="12.75">
      <c r="H866" s="151"/>
    </row>
    <row r="867" ht="12.75">
      <c r="H867" s="151"/>
    </row>
    <row r="868" ht="12.75">
      <c r="H868" s="151"/>
    </row>
    <row r="869" ht="12.75">
      <c r="H869" s="151"/>
    </row>
    <row r="870" ht="12.75">
      <c r="H870" s="151"/>
    </row>
    <row r="871" ht="12.75">
      <c r="H871" s="151"/>
    </row>
    <row r="872" ht="12.75">
      <c r="H872" s="151"/>
    </row>
    <row r="873" ht="12.75">
      <c r="H873" s="151"/>
    </row>
    <row r="874" ht="12.75">
      <c r="H874" s="151"/>
    </row>
    <row r="875" ht="12.75">
      <c r="H875" s="151"/>
    </row>
    <row r="876" ht="12.75">
      <c r="H876" s="151"/>
    </row>
    <row r="877" ht="12.75">
      <c r="H877" s="151"/>
    </row>
    <row r="878" ht="12.75">
      <c r="H878" s="151"/>
    </row>
    <row r="879" ht="12.75">
      <c r="H879" s="151"/>
    </row>
    <row r="880" ht="12.75">
      <c r="H880" s="151"/>
    </row>
    <row r="881" ht="12.75">
      <c r="H881" s="151"/>
    </row>
    <row r="882" ht="12.75">
      <c r="H882" s="151"/>
    </row>
    <row r="883" ht="12.75">
      <c r="H883" s="151"/>
    </row>
    <row r="884" ht="12.75">
      <c r="H884" s="151"/>
    </row>
    <row r="885" ht="12.75">
      <c r="H885" s="151"/>
    </row>
    <row r="886" ht="12.75">
      <c r="H886" s="151"/>
    </row>
    <row r="887" ht="12.75">
      <c r="H887" s="151"/>
    </row>
    <row r="888" ht="12.75">
      <c r="H888" s="151"/>
    </row>
    <row r="889" ht="12.75">
      <c r="H889" s="151"/>
    </row>
    <row r="890" ht="12.75">
      <c r="H890" s="151"/>
    </row>
    <row r="891" ht="12.75">
      <c r="H891" s="151"/>
    </row>
    <row r="892" ht="12.75">
      <c r="H892" s="151"/>
    </row>
    <row r="893" ht="12.75">
      <c r="H893" s="151"/>
    </row>
    <row r="894" ht="12.75">
      <c r="H894" s="151"/>
    </row>
    <row r="895" ht="12.75">
      <c r="H895" s="151"/>
    </row>
    <row r="896" ht="12.75">
      <c r="H896" s="151"/>
    </row>
    <row r="897" ht="12.75">
      <c r="H897" s="151"/>
    </row>
    <row r="898" ht="12.75">
      <c r="H898" s="151"/>
    </row>
    <row r="899" ht="12.75">
      <c r="H899" s="151"/>
    </row>
    <row r="900" ht="12.75">
      <c r="H900" s="151"/>
    </row>
    <row r="901" ht="12.75">
      <c r="H901" s="151"/>
    </row>
    <row r="902" ht="12.75">
      <c r="H902" s="151"/>
    </row>
    <row r="903" ht="12.75">
      <c r="H903" s="151"/>
    </row>
    <row r="904" ht="12.75">
      <c r="H904" s="151"/>
    </row>
    <row r="905" ht="12.75">
      <c r="H905" s="151"/>
    </row>
    <row r="906" ht="12.75">
      <c r="H906" s="151"/>
    </row>
    <row r="907" ht="12.75">
      <c r="H907" s="151"/>
    </row>
    <row r="908" ht="12.75">
      <c r="H908" s="151"/>
    </row>
    <row r="909" ht="12.75">
      <c r="H909" s="151"/>
    </row>
    <row r="910" ht="12.75">
      <c r="H910" s="151"/>
    </row>
    <row r="911" ht="12.75">
      <c r="H911" s="151"/>
    </row>
    <row r="912" ht="12.75">
      <c r="H912" s="151"/>
    </row>
    <row r="913" ht="12.75">
      <c r="H913" s="151"/>
    </row>
    <row r="914" ht="12.75">
      <c r="H914" s="151"/>
    </row>
    <row r="915" ht="12.75">
      <c r="H915" s="151"/>
    </row>
    <row r="916" ht="12.75">
      <c r="H916" s="151"/>
    </row>
    <row r="917" ht="12.75">
      <c r="H917" s="151"/>
    </row>
    <row r="918" ht="12.75">
      <c r="H918" s="151"/>
    </row>
    <row r="919" ht="12.75">
      <c r="H919" s="151"/>
    </row>
    <row r="920" ht="12.75">
      <c r="H920" s="151"/>
    </row>
    <row r="921" ht="12.75">
      <c r="H921" s="151"/>
    </row>
    <row r="922" ht="12.75">
      <c r="H922" s="151"/>
    </row>
    <row r="923" ht="12.75">
      <c r="H923" s="151"/>
    </row>
    <row r="924" ht="12.75">
      <c r="H924" s="151"/>
    </row>
    <row r="925" ht="12.75">
      <c r="H925" s="151"/>
    </row>
    <row r="926" ht="12.75">
      <c r="H926" s="151"/>
    </row>
    <row r="927" ht="12.75">
      <c r="H927" s="151"/>
    </row>
    <row r="928" ht="12.75">
      <c r="H928" s="151"/>
    </row>
    <row r="929" ht="12.75">
      <c r="H929" s="151"/>
    </row>
    <row r="930" ht="12.75">
      <c r="H930" s="151"/>
    </row>
    <row r="931" ht="12.75">
      <c r="H931" s="151"/>
    </row>
    <row r="932" ht="12.75">
      <c r="H932" s="151"/>
    </row>
    <row r="933" ht="12.75">
      <c r="H933" s="151"/>
    </row>
    <row r="934" ht="12.75">
      <c r="H934" s="151"/>
    </row>
    <row r="935" ht="12.75">
      <c r="H935" s="151"/>
    </row>
    <row r="936" ht="12.75">
      <c r="H936" s="151"/>
    </row>
    <row r="937" ht="12.75">
      <c r="H937" s="151"/>
    </row>
    <row r="938" ht="12.75">
      <c r="H938" s="151"/>
    </row>
    <row r="939" ht="12.75">
      <c r="H939" s="151"/>
    </row>
    <row r="940" ht="12.75">
      <c r="H940" s="151"/>
    </row>
    <row r="941" ht="12.75">
      <c r="H941" s="151"/>
    </row>
    <row r="942" ht="12.75">
      <c r="H942" s="151"/>
    </row>
    <row r="943" ht="12.75">
      <c r="H943" s="151"/>
    </row>
    <row r="944" ht="12.75">
      <c r="H944" s="151"/>
    </row>
    <row r="945" ht="12.75">
      <c r="H945" s="151"/>
    </row>
    <row r="946" ht="12.75">
      <c r="H946" s="151"/>
    </row>
    <row r="947" ht="12.75">
      <c r="H947" s="151"/>
    </row>
    <row r="948" ht="12.75">
      <c r="H948" s="151"/>
    </row>
    <row r="949" ht="12.75">
      <c r="H949" s="151"/>
    </row>
    <row r="950" ht="12.75">
      <c r="H950" s="151"/>
    </row>
    <row r="951" ht="12.75">
      <c r="H951" s="151"/>
    </row>
    <row r="952" ht="12.75">
      <c r="H952" s="151"/>
    </row>
    <row r="953" ht="12.75">
      <c r="H953" s="151"/>
    </row>
    <row r="954" ht="12.75">
      <c r="H954" s="151"/>
    </row>
    <row r="955" ht="12.75">
      <c r="H955" s="151"/>
    </row>
    <row r="956" ht="12.75">
      <c r="H956" s="151"/>
    </row>
    <row r="957" ht="12.75">
      <c r="H957" s="151"/>
    </row>
    <row r="958" ht="12.75">
      <c r="H958" s="151"/>
    </row>
    <row r="959" ht="12.75">
      <c r="H959" s="151"/>
    </row>
    <row r="960" ht="12.75">
      <c r="H960" s="151"/>
    </row>
    <row r="961" ht="12.75">
      <c r="H961" s="151"/>
    </row>
    <row r="962" ht="12.75">
      <c r="H962" s="151"/>
    </row>
    <row r="963" ht="12.75">
      <c r="H963" s="151"/>
    </row>
    <row r="964" ht="12.75">
      <c r="H964" s="151"/>
    </row>
    <row r="965" ht="12.75">
      <c r="H965" s="151"/>
    </row>
    <row r="966" ht="12.75">
      <c r="H966" s="151"/>
    </row>
    <row r="967" ht="12.75">
      <c r="H967" s="151"/>
    </row>
    <row r="968" ht="12.75">
      <c r="H968" s="151"/>
    </row>
    <row r="969" ht="12.75">
      <c r="H969" s="151"/>
    </row>
    <row r="970" ht="12.75">
      <c r="H970" s="151"/>
    </row>
    <row r="971" ht="12.75">
      <c r="H971" s="151"/>
    </row>
    <row r="972" ht="12.75">
      <c r="H972" s="151"/>
    </row>
    <row r="973" ht="12.75">
      <c r="H973" s="151"/>
    </row>
    <row r="974" ht="12.75">
      <c r="H974" s="151"/>
    </row>
    <row r="975" ht="12.75">
      <c r="H975" s="151"/>
    </row>
    <row r="976" ht="12.75">
      <c r="H976" s="151"/>
    </row>
    <row r="977" ht="12.75">
      <c r="H977" s="151"/>
    </row>
    <row r="978" ht="12.75">
      <c r="H978" s="151"/>
    </row>
    <row r="979" ht="12.75">
      <c r="H979" s="151"/>
    </row>
    <row r="980" ht="12.75">
      <c r="H980" s="151"/>
    </row>
    <row r="981" ht="12.75">
      <c r="H981" s="151"/>
    </row>
    <row r="982" ht="12.75">
      <c r="H982" s="151"/>
    </row>
    <row r="983" ht="12.75">
      <c r="H983" s="151"/>
    </row>
    <row r="984" ht="12.75">
      <c r="H984" s="151"/>
    </row>
    <row r="985" ht="12.75">
      <c r="H985" s="151"/>
    </row>
    <row r="986" ht="12.75">
      <c r="H986" s="151"/>
    </row>
    <row r="987" ht="12.75">
      <c r="H987" s="151"/>
    </row>
    <row r="988" ht="12.75">
      <c r="H988" s="151"/>
    </row>
    <row r="989" ht="12.75">
      <c r="H989" s="151"/>
    </row>
    <row r="990" ht="12.75">
      <c r="H990" s="151"/>
    </row>
    <row r="991" ht="12.75">
      <c r="H991" s="151"/>
    </row>
    <row r="992" ht="12.75">
      <c r="H992" s="151"/>
    </row>
    <row r="993" ht="12.75">
      <c r="H993" s="151"/>
    </row>
    <row r="994" ht="12.75">
      <c r="H994" s="151"/>
    </row>
    <row r="995" ht="12.75">
      <c r="H995" s="151"/>
    </row>
    <row r="996" ht="12.75">
      <c r="H996" s="151"/>
    </row>
    <row r="997" ht="12.75">
      <c r="H997" s="151"/>
    </row>
    <row r="998" ht="12.75">
      <c r="H998" s="151"/>
    </row>
    <row r="999" ht="12.75">
      <c r="H999" s="151"/>
    </row>
    <row r="1000" ht="12.75">
      <c r="H1000" s="151"/>
    </row>
    <row r="1001" ht="12.75">
      <c r="H1001" s="151"/>
    </row>
    <row r="1002" ht="12.75">
      <c r="H1002" s="151"/>
    </row>
    <row r="1003" ht="12.75">
      <c r="H1003" s="151"/>
    </row>
    <row r="1004" ht="12.75">
      <c r="H1004" s="151"/>
    </row>
    <row r="1005" ht="12.75">
      <c r="H1005" s="151"/>
    </row>
    <row r="1006" ht="12.75">
      <c r="H1006" s="151"/>
    </row>
    <row r="1007" ht="12.75">
      <c r="H1007" s="151"/>
    </row>
    <row r="1008" ht="12.75">
      <c r="H1008" s="151"/>
    </row>
    <row r="1009" ht="12.75">
      <c r="H1009" s="151"/>
    </row>
    <row r="1010" ht="12.75">
      <c r="H1010" s="151"/>
    </row>
    <row r="1011" ht="12.75">
      <c r="H1011" s="151"/>
    </row>
    <row r="1012" ht="12.75">
      <c r="H1012" s="151"/>
    </row>
    <row r="1013" ht="12.75">
      <c r="H1013" s="151"/>
    </row>
    <row r="1014" ht="12.75">
      <c r="H1014" s="151"/>
    </row>
    <row r="1015" ht="12.75">
      <c r="H1015" s="151"/>
    </row>
    <row r="1016" ht="12.75">
      <c r="H1016" s="151"/>
    </row>
    <row r="1017" ht="12.75">
      <c r="H1017" s="151"/>
    </row>
    <row r="1018" ht="12.75">
      <c r="H1018" s="151"/>
    </row>
    <row r="1019" ht="12.75">
      <c r="H1019" s="151"/>
    </row>
    <row r="1020" ht="12.75">
      <c r="H1020" s="151"/>
    </row>
    <row r="1021" ht="12.75">
      <c r="H1021" s="151"/>
    </row>
    <row r="1022" ht="12.75">
      <c r="H1022" s="151"/>
    </row>
    <row r="1023" ht="12.75">
      <c r="H1023" s="151"/>
    </row>
    <row r="1024" ht="12.75">
      <c r="H1024" s="151"/>
    </row>
    <row r="1025" ht="12.75">
      <c r="H1025" s="151"/>
    </row>
    <row r="1026" ht="12.75">
      <c r="H1026" s="151"/>
    </row>
    <row r="1027" ht="12.75">
      <c r="H1027" s="151"/>
    </row>
    <row r="1028" ht="12.75">
      <c r="H1028" s="151"/>
    </row>
    <row r="1029" ht="12.75">
      <c r="H1029" s="151"/>
    </row>
    <row r="1030" ht="12.75">
      <c r="H1030" s="151"/>
    </row>
    <row r="1031" ht="12.75">
      <c r="H1031" s="151"/>
    </row>
    <row r="1032" ht="12.75">
      <c r="H1032" s="151"/>
    </row>
    <row r="1033" ht="12.75">
      <c r="H1033" s="151"/>
    </row>
    <row r="1034" ht="12.75">
      <c r="H1034" s="151"/>
    </row>
    <row r="1035" ht="12.75">
      <c r="H1035" s="151"/>
    </row>
    <row r="1036" ht="12.75">
      <c r="H1036" s="151"/>
    </row>
    <row r="1037" ht="12.75">
      <c r="H1037" s="151"/>
    </row>
    <row r="1038" ht="12.75">
      <c r="H1038" s="151"/>
    </row>
    <row r="1039" ht="12.75">
      <c r="H1039" s="151"/>
    </row>
    <row r="1040" ht="12.75">
      <c r="H1040" s="151"/>
    </row>
    <row r="1041" ht="12.75">
      <c r="H1041" s="151"/>
    </row>
    <row r="1042" ht="12.75">
      <c r="H1042" s="151"/>
    </row>
    <row r="1043" ht="12.75">
      <c r="H1043" s="151"/>
    </row>
    <row r="1044" ht="12.75">
      <c r="H1044" s="151"/>
    </row>
    <row r="1045" ht="12.75">
      <c r="H1045" s="151"/>
    </row>
    <row r="1046" ht="12.75">
      <c r="H1046" s="151"/>
    </row>
    <row r="1047" ht="12.75">
      <c r="H1047" s="151"/>
    </row>
    <row r="1048" ht="12.75">
      <c r="H1048" s="151"/>
    </row>
    <row r="1049" ht="12.75">
      <c r="H1049" s="151"/>
    </row>
    <row r="1050" ht="12.75">
      <c r="H1050" s="151"/>
    </row>
    <row r="1051" ht="12.75">
      <c r="H1051" s="151"/>
    </row>
    <row r="1052" ht="12.75">
      <c r="H1052" s="151"/>
    </row>
    <row r="1053" ht="12.75">
      <c r="H1053" s="151"/>
    </row>
    <row r="1054" ht="12.75">
      <c r="H1054" s="151"/>
    </row>
    <row r="1055" ht="12.75">
      <c r="H1055" s="151"/>
    </row>
    <row r="1056" ht="12.75">
      <c r="H1056" s="151"/>
    </row>
    <row r="1057" ht="12.75">
      <c r="H1057" s="151"/>
    </row>
    <row r="1058" ht="12.75">
      <c r="H1058" s="151"/>
    </row>
    <row r="1059" ht="12.75">
      <c r="H1059" s="151"/>
    </row>
    <row r="1060" ht="12.75">
      <c r="H1060" s="151"/>
    </row>
    <row r="1061" ht="12.75">
      <c r="H1061" s="151"/>
    </row>
    <row r="1062" ht="12.75">
      <c r="H1062" s="151"/>
    </row>
    <row r="1063" ht="12.75">
      <c r="H1063" s="151"/>
    </row>
    <row r="1064" ht="12.75">
      <c r="H1064" s="151"/>
    </row>
    <row r="1065" ht="12.75">
      <c r="H1065" s="151"/>
    </row>
    <row r="1066" ht="12.75">
      <c r="H1066" s="151"/>
    </row>
    <row r="1067" ht="12.75">
      <c r="H1067" s="151"/>
    </row>
    <row r="1068" ht="12.75">
      <c r="H1068" s="151"/>
    </row>
    <row r="1069" ht="12.75">
      <c r="H1069" s="151"/>
    </row>
    <row r="1070" ht="12.75">
      <c r="H1070" s="151"/>
    </row>
    <row r="1071" ht="12.75">
      <c r="H1071" s="151"/>
    </row>
    <row r="1072" ht="12.75">
      <c r="H1072" s="151"/>
    </row>
    <row r="1073" ht="12.75">
      <c r="H1073" s="151"/>
    </row>
    <row r="1074" ht="12.75">
      <c r="H1074" s="151"/>
    </row>
    <row r="1075" ht="12.75">
      <c r="H1075" s="151"/>
    </row>
    <row r="1076" ht="12.75">
      <c r="H1076" s="151"/>
    </row>
    <row r="1077" ht="12.75">
      <c r="H1077" s="151"/>
    </row>
    <row r="1078" ht="12.75">
      <c r="H1078" s="151"/>
    </row>
    <row r="1079" ht="12.75">
      <c r="H1079" s="151"/>
    </row>
    <row r="1080" ht="12.75">
      <c r="H1080" s="151"/>
    </row>
    <row r="1081" ht="12.75">
      <c r="H1081" s="151"/>
    </row>
    <row r="1082" ht="12.75">
      <c r="H1082" s="151"/>
    </row>
    <row r="1083" ht="12.75">
      <c r="H1083" s="151"/>
    </row>
    <row r="1084" ht="12.75">
      <c r="H1084" s="151"/>
    </row>
    <row r="1085" ht="12.75">
      <c r="H1085" s="151"/>
    </row>
    <row r="1086" ht="12.75">
      <c r="H1086" s="151"/>
    </row>
    <row r="1087" ht="12.75">
      <c r="H1087" s="151"/>
    </row>
    <row r="1088" ht="12.75">
      <c r="H1088" s="151"/>
    </row>
    <row r="1089" ht="12.75">
      <c r="H1089" s="151"/>
    </row>
    <row r="1090" ht="12.75">
      <c r="H1090" s="151"/>
    </row>
    <row r="1091" ht="12.75">
      <c r="H1091" s="151"/>
    </row>
    <row r="1092" ht="12.75">
      <c r="H1092" s="151"/>
    </row>
    <row r="1093" ht="12.75">
      <c r="H1093" s="151"/>
    </row>
    <row r="1094" ht="12.75">
      <c r="H1094" s="151"/>
    </row>
    <row r="1095" ht="12.75">
      <c r="H1095" s="151"/>
    </row>
    <row r="1096" ht="12.75">
      <c r="H1096" s="151"/>
    </row>
    <row r="1097" ht="12.75">
      <c r="H1097" s="151"/>
    </row>
    <row r="1098" ht="12.75">
      <c r="H1098" s="151"/>
    </row>
    <row r="1099" ht="12.75">
      <c r="H1099" s="151"/>
    </row>
    <row r="1100" ht="12.75">
      <c r="H1100" s="151"/>
    </row>
    <row r="1101" ht="12.75">
      <c r="H1101" s="151"/>
    </row>
    <row r="1102" ht="12.75">
      <c r="H1102" s="151"/>
    </row>
    <row r="1103" ht="12.75">
      <c r="H1103" s="151"/>
    </row>
    <row r="1104" ht="12.75">
      <c r="H1104" s="151"/>
    </row>
    <row r="1105" ht="12.75">
      <c r="H1105" s="151"/>
    </row>
    <row r="1106" ht="12.75">
      <c r="H1106" s="151"/>
    </row>
    <row r="1107" ht="12.75">
      <c r="H1107" s="151"/>
    </row>
    <row r="1108" ht="12.75">
      <c r="H1108" s="151"/>
    </row>
    <row r="1109" ht="12.75">
      <c r="H1109" s="151"/>
    </row>
    <row r="1110" ht="12.75">
      <c r="H1110" s="151"/>
    </row>
    <row r="1111" ht="12.75">
      <c r="H1111" s="151"/>
    </row>
    <row r="1112" ht="12.75">
      <c r="H1112" s="151"/>
    </row>
    <row r="1113" ht="12.75">
      <c r="H1113" s="151"/>
    </row>
    <row r="1114" ht="12.75">
      <c r="H1114" s="151"/>
    </row>
    <row r="1115" ht="12.75">
      <c r="H1115" s="151"/>
    </row>
    <row r="1116" ht="12.75">
      <c r="H1116" s="151"/>
    </row>
    <row r="1117" ht="12.75">
      <c r="H1117" s="151"/>
    </row>
    <row r="1118" ht="12.75">
      <c r="H1118" s="151"/>
    </row>
    <row r="1119" ht="12.75">
      <c r="H1119" s="151"/>
    </row>
    <row r="1120" ht="12.75">
      <c r="H1120" s="151"/>
    </row>
    <row r="1121" ht="12.75">
      <c r="H1121" s="151"/>
    </row>
    <row r="1122" ht="12.75">
      <c r="H1122" s="151"/>
    </row>
    <row r="1123" ht="12.75">
      <c r="H1123" s="151"/>
    </row>
    <row r="1124" ht="12.75">
      <c r="H1124" s="151"/>
    </row>
    <row r="1125" ht="12.75">
      <c r="H1125" s="151"/>
    </row>
    <row r="1126" ht="12.75">
      <c r="H1126" s="151"/>
    </row>
    <row r="1127" ht="12.75">
      <c r="H1127" s="151"/>
    </row>
    <row r="1128" ht="12.75">
      <c r="H1128" s="151"/>
    </row>
    <row r="1129" ht="12.75">
      <c r="H1129" s="151"/>
    </row>
    <row r="1130" ht="12.75">
      <c r="H1130" s="151"/>
    </row>
    <row r="1131" ht="12.75">
      <c r="H1131" s="151"/>
    </row>
    <row r="1132" ht="12.75">
      <c r="H1132" s="151"/>
    </row>
    <row r="1133" ht="12.75">
      <c r="H1133" s="151"/>
    </row>
    <row r="1134" ht="12.75">
      <c r="H1134" s="151"/>
    </row>
    <row r="1135" ht="12.75">
      <c r="H1135" s="151"/>
    </row>
    <row r="1136" ht="12.75">
      <c r="H1136" s="151"/>
    </row>
    <row r="1137" ht="12.75">
      <c r="H1137" s="151"/>
    </row>
    <row r="1138" ht="12.75">
      <c r="H1138" s="151"/>
    </row>
    <row r="1139" ht="12.75">
      <c r="H1139" s="151"/>
    </row>
    <row r="1140" ht="12.75">
      <c r="H1140" s="151"/>
    </row>
    <row r="1141" ht="12.75">
      <c r="H1141" s="151"/>
    </row>
    <row r="1142" ht="12.75">
      <c r="H1142" s="151"/>
    </row>
    <row r="1143" ht="12.75">
      <c r="H1143" s="151"/>
    </row>
    <row r="1144" ht="12.75">
      <c r="H1144" s="151"/>
    </row>
    <row r="1145" ht="12.75">
      <c r="H1145" s="151"/>
    </row>
    <row r="1146" ht="12.75">
      <c r="H1146" s="151"/>
    </row>
    <row r="1147" ht="12.75">
      <c r="H1147" s="151"/>
    </row>
    <row r="1148" ht="12.75">
      <c r="H1148" s="151"/>
    </row>
    <row r="1149" ht="12.75">
      <c r="H1149" s="151"/>
    </row>
    <row r="1150" ht="12.75">
      <c r="H1150" s="151"/>
    </row>
    <row r="1151" ht="12.75">
      <c r="H1151" s="151"/>
    </row>
    <row r="1152" ht="12.75">
      <c r="H1152" s="151"/>
    </row>
    <row r="1153" ht="12.75">
      <c r="H1153" s="151"/>
    </row>
    <row r="1154" ht="12.75">
      <c r="H1154" s="151"/>
    </row>
    <row r="1155" ht="12.75">
      <c r="H1155" s="151"/>
    </row>
    <row r="1156" ht="12.75">
      <c r="H1156" s="151"/>
    </row>
    <row r="1157" ht="12.75">
      <c r="H1157" s="151"/>
    </row>
    <row r="1158" ht="12.75">
      <c r="H1158" s="151"/>
    </row>
    <row r="1159" ht="12.75">
      <c r="H1159" s="151"/>
    </row>
    <row r="1160" ht="12.75">
      <c r="H1160" s="151"/>
    </row>
    <row r="1161" ht="12.75">
      <c r="H1161" s="151"/>
    </row>
    <row r="1162" ht="12.75">
      <c r="H1162" s="151"/>
    </row>
    <row r="1163" ht="12.75">
      <c r="H1163" s="151"/>
    </row>
    <row r="1164" ht="12.75">
      <c r="H1164" s="151"/>
    </row>
    <row r="1165" ht="12.75">
      <c r="H1165" s="151"/>
    </row>
    <row r="1166" ht="12.75">
      <c r="H1166" s="151"/>
    </row>
    <row r="1167" ht="12.75">
      <c r="H1167" s="151"/>
    </row>
    <row r="1168" ht="12.75">
      <c r="H1168" s="151"/>
    </row>
    <row r="1169" ht="12.75">
      <c r="H1169" s="151"/>
    </row>
    <row r="1170" ht="12.75">
      <c r="H1170" s="151"/>
    </row>
    <row r="1171" ht="12.75">
      <c r="H1171" s="151"/>
    </row>
    <row r="1172" ht="12.75">
      <c r="H1172" s="151"/>
    </row>
    <row r="1173" ht="12.75">
      <c r="H1173" s="151"/>
    </row>
    <row r="1174" ht="12.75">
      <c r="H1174" s="151"/>
    </row>
    <row r="1175" ht="12.75">
      <c r="H1175" s="151"/>
    </row>
    <row r="1176" ht="12.75">
      <c r="H1176" s="151"/>
    </row>
    <row r="1177" ht="12.75">
      <c r="H1177" s="151"/>
    </row>
    <row r="1178" ht="12.75">
      <c r="H1178" s="151"/>
    </row>
    <row r="1179" ht="12.75">
      <c r="H1179" s="151"/>
    </row>
    <row r="1180" ht="12.75">
      <c r="H1180" s="151"/>
    </row>
    <row r="1181" ht="12.75">
      <c r="H1181" s="151"/>
    </row>
    <row r="1182" ht="12.75">
      <c r="H1182" s="151"/>
    </row>
    <row r="1183" ht="12.75">
      <c r="H1183" s="151"/>
    </row>
    <row r="1184" ht="12.75">
      <c r="H1184" s="151"/>
    </row>
    <row r="1185" ht="12.75">
      <c r="H1185" s="151"/>
    </row>
    <row r="1186" ht="12.75">
      <c r="H1186" s="151"/>
    </row>
    <row r="1187" ht="12.75">
      <c r="H1187" s="151"/>
    </row>
    <row r="1188" ht="12.75">
      <c r="H1188" s="151"/>
    </row>
    <row r="1189" ht="12.75">
      <c r="H1189" s="151"/>
    </row>
    <row r="1190" ht="12.75">
      <c r="H1190" s="151"/>
    </row>
    <row r="1191" ht="12.75">
      <c r="H1191" s="151"/>
    </row>
    <row r="1192" ht="12.75">
      <c r="H1192" s="151"/>
    </row>
    <row r="1193" ht="12.75">
      <c r="H1193" s="151"/>
    </row>
    <row r="1194" ht="12.75">
      <c r="H1194" s="151"/>
    </row>
    <row r="1195" ht="12.75">
      <c r="H1195" s="151"/>
    </row>
    <row r="1196" ht="12.75">
      <c r="H1196" s="151"/>
    </row>
    <row r="1197" ht="12.75">
      <c r="H1197" s="151"/>
    </row>
    <row r="1198" ht="12.75">
      <c r="H1198" s="151"/>
    </row>
    <row r="1199" ht="12.75">
      <c r="H1199" s="151"/>
    </row>
    <row r="1200" ht="12.75">
      <c r="H1200" s="151"/>
    </row>
    <row r="1201" ht="12.75">
      <c r="H1201" s="151"/>
    </row>
    <row r="1202" ht="12.75">
      <c r="H1202" s="151"/>
    </row>
    <row r="1203" ht="12.75">
      <c r="H1203" s="151"/>
    </row>
    <row r="1204" ht="12.75">
      <c r="H1204" s="151"/>
    </row>
    <row r="1205" ht="12.75">
      <c r="H1205" s="151"/>
    </row>
    <row r="1206" ht="12.75">
      <c r="H1206" s="151"/>
    </row>
    <row r="1207" ht="12.75">
      <c r="H1207" s="151"/>
    </row>
    <row r="1208" ht="12.75">
      <c r="H1208" s="151"/>
    </row>
    <row r="1209" ht="12.75">
      <c r="H1209" s="151"/>
    </row>
    <row r="1210" ht="12.75">
      <c r="H1210" s="151"/>
    </row>
    <row r="1211" ht="12.75">
      <c r="H1211" s="151"/>
    </row>
    <row r="1212" ht="12.75">
      <c r="H1212" s="151"/>
    </row>
    <row r="1213" ht="12.75">
      <c r="H1213" s="151"/>
    </row>
    <row r="1214" ht="12.75">
      <c r="H1214" s="151"/>
    </row>
    <row r="1215" ht="12.75">
      <c r="H1215" s="151"/>
    </row>
    <row r="1216" ht="12.75">
      <c r="H1216" s="151"/>
    </row>
    <row r="1217" ht="12.75">
      <c r="H1217" s="151"/>
    </row>
    <row r="1218" ht="12.75">
      <c r="H1218" s="151"/>
    </row>
    <row r="1219" ht="12.75">
      <c r="H1219" s="151"/>
    </row>
    <row r="1220" ht="12.75">
      <c r="H1220" s="151"/>
    </row>
    <row r="1221" ht="12.75">
      <c r="H1221" s="151"/>
    </row>
    <row r="1222" ht="12.75">
      <c r="H1222" s="151"/>
    </row>
    <row r="1223" ht="12.75">
      <c r="H1223" s="151"/>
    </row>
    <row r="1224" ht="12.75">
      <c r="H1224" s="151"/>
    </row>
    <row r="1225" ht="12.75">
      <c r="H1225" s="151"/>
    </row>
    <row r="1226" ht="12.75">
      <c r="H1226" s="151"/>
    </row>
    <row r="1227" ht="12.75">
      <c r="H1227" s="151"/>
    </row>
    <row r="1228" ht="12.75">
      <c r="H1228" s="151"/>
    </row>
    <row r="1229" ht="12.75">
      <c r="H1229" s="151"/>
    </row>
    <row r="1230" ht="12.75">
      <c r="H1230" s="151"/>
    </row>
    <row r="1231" ht="12.75">
      <c r="H1231" s="151"/>
    </row>
    <row r="1232" ht="12.75">
      <c r="H1232" s="151"/>
    </row>
    <row r="1233" ht="12.75">
      <c r="H1233" s="151"/>
    </row>
    <row r="1234" ht="12.75">
      <c r="H1234" s="151"/>
    </row>
    <row r="1235" ht="12.75">
      <c r="H1235" s="151"/>
    </row>
    <row r="1236" ht="12.75">
      <c r="H1236" s="151"/>
    </row>
    <row r="1237" ht="12.75">
      <c r="H1237" s="151"/>
    </row>
    <row r="1238" ht="12.75">
      <c r="H1238" s="151"/>
    </row>
    <row r="1239" ht="12.75">
      <c r="H1239" s="151"/>
    </row>
    <row r="1240" ht="12.75">
      <c r="H1240" s="151"/>
    </row>
    <row r="1241" ht="12.75">
      <c r="H1241" s="151"/>
    </row>
    <row r="1242" ht="12.75">
      <c r="H1242" s="151"/>
    </row>
    <row r="1243" ht="12.75">
      <c r="H1243" s="151"/>
    </row>
    <row r="1244" ht="12.75">
      <c r="H1244" s="151"/>
    </row>
    <row r="1245" ht="12.75">
      <c r="H1245" s="151"/>
    </row>
    <row r="1246" ht="12.75">
      <c r="H1246" s="151"/>
    </row>
    <row r="1247" ht="12.75">
      <c r="H1247" s="151"/>
    </row>
    <row r="1248" ht="12.75">
      <c r="H1248" s="151"/>
    </row>
    <row r="1249" ht="12.75">
      <c r="H1249" s="151"/>
    </row>
    <row r="1250" ht="12.75">
      <c r="H1250" s="151"/>
    </row>
    <row r="1251" ht="12.75">
      <c r="H1251" s="151"/>
    </row>
    <row r="1252" ht="12.75">
      <c r="H1252" s="151"/>
    </row>
    <row r="1253" ht="12.75">
      <c r="H1253" s="151"/>
    </row>
    <row r="1254" ht="12.75">
      <c r="H1254" s="151"/>
    </row>
    <row r="1255" ht="12.75">
      <c r="H1255" s="151"/>
    </row>
    <row r="1256" ht="12.75">
      <c r="H1256" s="151"/>
    </row>
    <row r="1257" ht="12.75">
      <c r="H1257" s="151"/>
    </row>
    <row r="1258" ht="12.75">
      <c r="H1258" s="151"/>
    </row>
    <row r="1259" ht="12.75">
      <c r="H1259" s="151"/>
    </row>
    <row r="1260" ht="12.75">
      <c r="H1260" s="151"/>
    </row>
    <row r="1261" ht="12.75">
      <c r="H1261" s="151"/>
    </row>
    <row r="1262" ht="12.75">
      <c r="H1262" s="151"/>
    </row>
    <row r="1263" ht="12.75">
      <c r="H1263" s="151"/>
    </row>
    <row r="1264" ht="12.75">
      <c r="H1264" s="151"/>
    </row>
    <row r="1265" ht="12.75">
      <c r="H1265" s="151"/>
    </row>
    <row r="1266" ht="12.75">
      <c r="H1266" s="151"/>
    </row>
    <row r="1267" ht="12.75">
      <c r="H1267" s="151"/>
    </row>
    <row r="1268" ht="12.75">
      <c r="H1268" s="151"/>
    </row>
    <row r="1269" ht="12.75">
      <c r="H1269" s="151"/>
    </row>
    <row r="1270" ht="12.75">
      <c r="H1270" s="151"/>
    </row>
    <row r="1271" ht="12.75">
      <c r="H1271" s="151"/>
    </row>
    <row r="1272" ht="12.75">
      <c r="H1272" s="151"/>
    </row>
    <row r="1273" ht="12.75">
      <c r="H1273" s="151"/>
    </row>
    <row r="1274" ht="12.75">
      <c r="H1274" s="151"/>
    </row>
    <row r="1275" ht="12.75">
      <c r="H1275" s="151"/>
    </row>
    <row r="1276" ht="12.75">
      <c r="H1276" s="151"/>
    </row>
    <row r="1277" ht="12.75">
      <c r="H1277" s="151"/>
    </row>
    <row r="1278" ht="12.75">
      <c r="H1278" s="151"/>
    </row>
    <row r="1279" ht="12.75">
      <c r="H1279" s="151"/>
    </row>
    <row r="1280" ht="12.75">
      <c r="H1280" s="151"/>
    </row>
    <row r="1281" ht="12.75">
      <c r="H1281" s="151"/>
    </row>
    <row r="1282" ht="12.75">
      <c r="H1282" s="151"/>
    </row>
    <row r="1283" ht="12.75">
      <c r="H1283" s="151"/>
    </row>
    <row r="1284" ht="12.75">
      <c r="H1284" s="151"/>
    </row>
    <row r="1285" ht="12.75">
      <c r="H1285" s="151"/>
    </row>
    <row r="1286" ht="12.75">
      <c r="H1286" s="151"/>
    </row>
    <row r="1287" ht="12.75">
      <c r="H1287" s="151"/>
    </row>
    <row r="1288" ht="12.75">
      <c r="H1288" s="151"/>
    </row>
    <row r="1289" ht="12.75">
      <c r="H1289" s="151"/>
    </row>
    <row r="1290" ht="12.75">
      <c r="H1290" s="151"/>
    </row>
    <row r="1291" ht="12.75">
      <c r="H1291" s="151"/>
    </row>
    <row r="1292" ht="12.75">
      <c r="H1292" s="151"/>
    </row>
    <row r="1293" ht="12.75">
      <c r="H1293" s="151"/>
    </row>
    <row r="1294" ht="12.75">
      <c r="H1294" s="151"/>
    </row>
    <row r="1295" ht="12.75">
      <c r="H1295" s="151"/>
    </row>
    <row r="1296" ht="12.75">
      <c r="H1296" s="151"/>
    </row>
    <row r="1297" ht="12.75">
      <c r="H1297" s="151"/>
    </row>
    <row r="1298" ht="12.75">
      <c r="H1298" s="151"/>
    </row>
    <row r="1299" ht="12.75">
      <c r="H1299" s="151"/>
    </row>
    <row r="1300" ht="12.75">
      <c r="H1300" s="151"/>
    </row>
    <row r="1301" ht="12.75">
      <c r="H1301" s="151"/>
    </row>
    <row r="1302" ht="12.75">
      <c r="H1302" s="151"/>
    </row>
    <row r="1303" ht="12.75">
      <c r="H1303" s="151"/>
    </row>
    <row r="1304" ht="12.75">
      <c r="H1304" s="151"/>
    </row>
    <row r="1305" ht="12.75">
      <c r="H1305" s="151"/>
    </row>
    <row r="1306" ht="12.75">
      <c r="H1306" s="151"/>
    </row>
    <row r="1307" ht="12.75">
      <c r="H1307" s="151"/>
    </row>
    <row r="1308" ht="12.75">
      <c r="H1308" s="151"/>
    </row>
    <row r="1309" ht="12.75">
      <c r="H1309" s="151"/>
    </row>
    <row r="1310" ht="12.75">
      <c r="H1310" s="151"/>
    </row>
    <row r="1311" ht="12.75">
      <c r="H1311" s="151"/>
    </row>
    <row r="1312" ht="12.75">
      <c r="H1312" s="151"/>
    </row>
    <row r="1313" ht="12.75">
      <c r="H1313" s="151"/>
    </row>
    <row r="1314" ht="12.75">
      <c r="H1314" s="151"/>
    </row>
    <row r="1315" ht="12.75">
      <c r="H1315" s="151"/>
    </row>
    <row r="1316" ht="12.75">
      <c r="H1316" s="151"/>
    </row>
    <row r="1317" ht="12.75">
      <c r="H1317" s="151"/>
    </row>
    <row r="1318" ht="12.75">
      <c r="H1318" s="151"/>
    </row>
    <row r="1319" ht="12.75">
      <c r="H1319" s="151"/>
    </row>
    <row r="1320" ht="12.75">
      <c r="H1320" s="151"/>
    </row>
    <row r="1321" ht="12.75">
      <c r="H1321" s="151"/>
    </row>
    <row r="1322" ht="12.75">
      <c r="H1322" s="151"/>
    </row>
    <row r="1323" ht="12.75">
      <c r="H1323" s="151"/>
    </row>
    <row r="1324" ht="12.75">
      <c r="H1324" s="151"/>
    </row>
    <row r="1325" ht="12.75">
      <c r="H1325" s="151"/>
    </row>
    <row r="1326" ht="12.75">
      <c r="H1326" s="151"/>
    </row>
    <row r="1327" ht="12.75">
      <c r="H1327" s="151"/>
    </row>
    <row r="1328" ht="12.75">
      <c r="H1328" s="151"/>
    </row>
    <row r="1329" ht="12.75">
      <c r="H1329" s="151"/>
    </row>
    <row r="1330" ht="12.75">
      <c r="H1330" s="151"/>
    </row>
    <row r="1331" ht="12.75">
      <c r="H1331" s="151"/>
    </row>
    <row r="1332" ht="12.75">
      <c r="H1332" s="151"/>
    </row>
    <row r="1333" ht="12.75">
      <c r="H1333" s="151"/>
    </row>
    <row r="1334" ht="12.75">
      <c r="H1334" s="151"/>
    </row>
    <row r="1335" ht="12.75">
      <c r="H1335" s="151"/>
    </row>
    <row r="1336" ht="12.75">
      <c r="H1336" s="151"/>
    </row>
    <row r="1337" ht="12.75">
      <c r="H1337" s="151"/>
    </row>
    <row r="1338" ht="12.75">
      <c r="H1338" s="151"/>
    </row>
    <row r="1339" ht="12.75">
      <c r="H1339" s="151"/>
    </row>
    <row r="1340" ht="12.75">
      <c r="H1340" s="151"/>
    </row>
    <row r="1341" ht="12.75">
      <c r="H1341" s="151"/>
    </row>
    <row r="1342" ht="12.75">
      <c r="H1342" s="151"/>
    </row>
    <row r="1343" ht="12.75">
      <c r="H1343" s="151"/>
    </row>
    <row r="1344" ht="12.75">
      <c r="H1344" s="151"/>
    </row>
    <row r="1345" ht="12.75">
      <c r="H1345" s="151"/>
    </row>
    <row r="1346" ht="12.75">
      <c r="H1346" s="151"/>
    </row>
    <row r="1347" ht="12.75">
      <c r="H1347" s="151"/>
    </row>
    <row r="1348" ht="12.75">
      <c r="H1348" s="151"/>
    </row>
    <row r="1349" ht="12.75">
      <c r="H1349" s="151"/>
    </row>
    <row r="1350" ht="12.75">
      <c r="H1350" s="151"/>
    </row>
    <row r="1351" ht="12.75">
      <c r="H1351" s="151"/>
    </row>
    <row r="1352" ht="12.75">
      <c r="H1352" s="151"/>
    </row>
    <row r="1353" ht="12.75">
      <c r="H1353" s="151"/>
    </row>
    <row r="1354" ht="12.75">
      <c r="H1354" s="151"/>
    </row>
    <row r="1355" ht="12.75">
      <c r="H1355" s="151"/>
    </row>
    <row r="1356" ht="12.75">
      <c r="H1356" s="151"/>
    </row>
    <row r="1357" ht="12.75">
      <c r="H1357" s="151"/>
    </row>
    <row r="1358" ht="12.75">
      <c r="H1358" s="151"/>
    </row>
    <row r="1359" ht="12.75">
      <c r="H1359" s="151"/>
    </row>
    <row r="1360" ht="12.75">
      <c r="H1360" s="151"/>
    </row>
    <row r="1361" ht="12.75">
      <c r="H1361" s="151"/>
    </row>
    <row r="1362" ht="12.75">
      <c r="H1362" s="151"/>
    </row>
    <row r="1363" ht="12.75">
      <c r="H1363" s="151"/>
    </row>
    <row r="1364" ht="12.75">
      <c r="H1364" s="151"/>
    </row>
    <row r="1365" ht="12.75">
      <c r="H1365" s="151"/>
    </row>
    <row r="1366" ht="12.75">
      <c r="H1366" s="151"/>
    </row>
    <row r="1367" ht="12.75">
      <c r="H1367" s="151"/>
    </row>
    <row r="1368" ht="12.75">
      <c r="H1368" s="151"/>
    </row>
    <row r="1369" ht="12.75">
      <c r="H1369" s="151"/>
    </row>
    <row r="1370" ht="12.75">
      <c r="H1370" s="151"/>
    </row>
    <row r="1371" ht="12.75">
      <c r="H1371" s="151"/>
    </row>
    <row r="1372" ht="12.75">
      <c r="H1372" s="151"/>
    </row>
    <row r="1373" ht="12.75">
      <c r="H1373" s="151"/>
    </row>
    <row r="1374" ht="12.75">
      <c r="H1374" s="151"/>
    </row>
    <row r="1375" ht="12.75">
      <c r="H1375" s="151"/>
    </row>
    <row r="1376" ht="12.75">
      <c r="H1376" s="151"/>
    </row>
    <row r="1377" ht="12.75">
      <c r="H1377" s="151"/>
    </row>
    <row r="1378" ht="12.75">
      <c r="H1378" s="151"/>
    </row>
    <row r="1379" ht="12.75">
      <c r="H1379" s="151"/>
    </row>
    <row r="1380" ht="12.75">
      <c r="H1380" s="151"/>
    </row>
    <row r="1381" ht="12.75">
      <c r="H1381" s="151"/>
    </row>
    <row r="1382" ht="12.75">
      <c r="H1382" s="151"/>
    </row>
    <row r="1383" ht="12.75">
      <c r="H1383" s="151"/>
    </row>
    <row r="1384" ht="12.75">
      <c r="H1384" s="151"/>
    </row>
    <row r="1385" ht="12.75">
      <c r="H1385" s="151"/>
    </row>
    <row r="1386" ht="12.75">
      <c r="H1386" s="151"/>
    </row>
    <row r="1387" ht="12.75">
      <c r="H1387" s="151"/>
    </row>
    <row r="1388" ht="12.75">
      <c r="H1388" s="151"/>
    </row>
    <row r="1389" ht="12.75">
      <c r="H1389" s="151"/>
    </row>
    <row r="1390" ht="12.75">
      <c r="H1390" s="151"/>
    </row>
    <row r="1391" ht="12.75">
      <c r="H1391" s="151"/>
    </row>
    <row r="1392" ht="12.75">
      <c r="H1392" s="151"/>
    </row>
    <row r="1393" ht="12.75">
      <c r="H1393" s="151"/>
    </row>
    <row r="1394" ht="12.75">
      <c r="H1394" s="151"/>
    </row>
    <row r="1395" ht="12.75">
      <c r="H1395" s="151"/>
    </row>
    <row r="1396" ht="12.75">
      <c r="H1396" s="151"/>
    </row>
    <row r="1397" ht="12.75">
      <c r="H1397" s="151"/>
    </row>
    <row r="1398" ht="12.75">
      <c r="H1398" s="151"/>
    </row>
    <row r="1399" ht="12.75">
      <c r="H1399" s="151"/>
    </row>
    <row r="1400" ht="12.75">
      <c r="H1400" s="151"/>
    </row>
    <row r="1401" ht="12.75">
      <c r="H1401" s="151"/>
    </row>
    <row r="1402" ht="12.75">
      <c r="H1402" s="151"/>
    </row>
    <row r="1403" ht="12.75">
      <c r="H1403" s="151"/>
    </row>
    <row r="1404" ht="12.75">
      <c r="H1404" s="151"/>
    </row>
    <row r="1405" ht="12.75">
      <c r="H1405" s="151"/>
    </row>
    <row r="1406" ht="12.75">
      <c r="H1406" s="151"/>
    </row>
    <row r="1407" ht="12.75">
      <c r="H1407" s="151"/>
    </row>
    <row r="1408" ht="12.75">
      <c r="H1408" s="151"/>
    </row>
    <row r="1409" ht="12.75">
      <c r="H1409" s="151"/>
    </row>
    <row r="1410" ht="12.75">
      <c r="H1410" s="151"/>
    </row>
    <row r="1411" ht="12.75">
      <c r="H1411" s="151"/>
    </row>
    <row r="1412" ht="12.75">
      <c r="H1412" s="151"/>
    </row>
    <row r="1413" ht="12.75">
      <c r="H1413" s="151"/>
    </row>
    <row r="1414" ht="12.75">
      <c r="H1414" s="151"/>
    </row>
    <row r="1415" ht="12.75">
      <c r="H1415" s="151"/>
    </row>
    <row r="1416" ht="12.75">
      <c r="H1416" s="151"/>
    </row>
    <row r="1417" ht="12.75">
      <c r="H1417" s="151"/>
    </row>
    <row r="1418" ht="12.75">
      <c r="H1418" s="151"/>
    </row>
    <row r="1419" ht="12.75">
      <c r="H1419" s="151"/>
    </row>
    <row r="1420" ht="12.75">
      <c r="H1420" s="151"/>
    </row>
    <row r="1421" ht="12.75">
      <c r="H1421" s="151"/>
    </row>
    <row r="1422" ht="12.75">
      <c r="H1422" s="151"/>
    </row>
    <row r="1423" ht="12.75">
      <c r="H1423" s="151"/>
    </row>
    <row r="1424" ht="12.75">
      <c r="H1424" s="151"/>
    </row>
    <row r="1425" ht="12.75">
      <c r="H1425" s="151"/>
    </row>
    <row r="1426" ht="12.75">
      <c r="H1426" s="151"/>
    </row>
    <row r="1427" ht="12.75">
      <c r="H1427" s="151"/>
    </row>
    <row r="1428" ht="12.75">
      <c r="H1428" s="151"/>
    </row>
    <row r="1429" ht="12.75">
      <c r="H1429" s="151"/>
    </row>
    <row r="1430" ht="12.75">
      <c r="H1430" s="151"/>
    </row>
    <row r="1431" ht="12.75">
      <c r="H1431" s="151"/>
    </row>
    <row r="1432" ht="12.75">
      <c r="H1432" s="151"/>
    </row>
    <row r="1433" ht="12.75">
      <c r="H1433" s="151"/>
    </row>
    <row r="1434" ht="12.75">
      <c r="H1434" s="151"/>
    </row>
    <row r="1435" ht="12.75">
      <c r="H1435" s="151"/>
    </row>
    <row r="1436" ht="12.75">
      <c r="H1436" s="151"/>
    </row>
    <row r="1437" ht="12.75">
      <c r="H1437" s="151"/>
    </row>
    <row r="1438" ht="12.75">
      <c r="H1438" s="151"/>
    </row>
    <row r="1439" ht="12.75">
      <c r="H1439" s="151"/>
    </row>
    <row r="1440" ht="12.75">
      <c r="H1440" s="151"/>
    </row>
    <row r="1441" ht="12.75">
      <c r="H1441" s="151"/>
    </row>
    <row r="1442" ht="12.75">
      <c r="H1442" s="151"/>
    </row>
    <row r="1443" ht="12.75">
      <c r="H1443" s="151"/>
    </row>
    <row r="1444" ht="12.75">
      <c r="H1444" s="151"/>
    </row>
    <row r="1445" ht="12.75">
      <c r="H1445" s="151"/>
    </row>
    <row r="1446" ht="12.75">
      <c r="H1446" s="151"/>
    </row>
    <row r="1447" ht="12.75">
      <c r="H1447" s="151"/>
    </row>
    <row r="1448" ht="12.75">
      <c r="H1448" s="151"/>
    </row>
    <row r="1449" ht="12.75">
      <c r="H1449" s="151"/>
    </row>
    <row r="1450" ht="12.75">
      <c r="H1450" s="151"/>
    </row>
    <row r="1451" ht="12.75">
      <c r="H1451" s="151"/>
    </row>
    <row r="1452" ht="12.75">
      <c r="H1452" s="151"/>
    </row>
    <row r="1453" ht="12.75">
      <c r="H1453" s="151"/>
    </row>
    <row r="1454" ht="12.75">
      <c r="H1454" s="151"/>
    </row>
    <row r="1455" ht="12.75">
      <c r="H1455" s="151"/>
    </row>
    <row r="1456" ht="12.75">
      <c r="H1456" s="151"/>
    </row>
    <row r="1457" ht="12.75">
      <c r="H1457" s="151"/>
    </row>
    <row r="1458" ht="12.75">
      <c r="H1458" s="151"/>
    </row>
    <row r="1459" ht="12.75">
      <c r="H1459" s="151"/>
    </row>
    <row r="1460" ht="12.75">
      <c r="H1460" s="151"/>
    </row>
    <row r="1461" ht="12.75">
      <c r="H1461" s="151"/>
    </row>
    <row r="1462" ht="12.75">
      <c r="H1462" s="151"/>
    </row>
    <row r="1463" ht="12.75">
      <c r="H1463" s="151"/>
    </row>
    <row r="1464" ht="12.75">
      <c r="H1464" s="151"/>
    </row>
    <row r="1465" ht="12.75">
      <c r="H1465" s="151"/>
    </row>
    <row r="1466" ht="12.75">
      <c r="H1466" s="151"/>
    </row>
    <row r="1467" ht="12.75">
      <c r="H1467" s="151"/>
    </row>
    <row r="1468" ht="12.75">
      <c r="H1468" s="151"/>
    </row>
    <row r="1469" ht="12.75">
      <c r="H1469" s="151"/>
    </row>
    <row r="1470" ht="12.75">
      <c r="H1470" s="151"/>
    </row>
    <row r="1471" ht="12.75">
      <c r="H1471" s="151"/>
    </row>
    <row r="1472" ht="12.75">
      <c r="H1472" s="151"/>
    </row>
    <row r="1473" ht="12.75">
      <c r="H1473" s="151"/>
    </row>
    <row r="1474" ht="12.75">
      <c r="H1474" s="151"/>
    </row>
    <row r="1475" ht="12.75">
      <c r="H1475" s="151"/>
    </row>
    <row r="1476" ht="12.75">
      <c r="H1476" s="151"/>
    </row>
    <row r="1477" ht="12.75">
      <c r="H1477" s="151"/>
    </row>
    <row r="1478" ht="12.75">
      <c r="H1478" s="151"/>
    </row>
    <row r="1479" ht="12.75">
      <c r="H1479" s="151"/>
    </row>
    <row r="1480" ht="12.75">
      <c r="H1480" s="151"/>
    </row>
    <row r="1481" ht="12.75">
      <c r="H1481" s="151"/>
    </row>
    <row r="1482" ht="12.75">
      <c r="H1482" s="151"/>
    </row>
    <row r="1483" ht="12.75">
      <c r="H1483" s="151"/>
    </row>
    <row r="1484" ht="12.75">
      <c r="H1484" s="151"/>
    </row>
    <row r="1485" ht="12.75">
      <c r="H1485" s="151"/>
    </row>
    <row r="1486" ht="12.75">
      <c r="H1486" s="151"/>
    </row>
    <row r="1487" ht="12.75">
      <c r="H1487" s="151"/>
    </row>
    <row r="1488" ht="12.75">
      <c r="H1488" s="151"/>
    </row>
    <row r="1489" ht="12.75">
      <c r="H1489" s="151"/>
    </row>
    <row r="1490" ht="12.75">
      <c r="H1490" s="151"/>
    </row>
    <row r="1491" ht="12.75">
      <c r="H1491" s="151"/>
    </row>
    <row r="1492" ht="12.75">
      <c r="H1492" s="151"/>
    </row>
    <row r="1493" ht="12.75">
      <c r="H1493" s="151"/>
    </row>
    <row r="1494" ht="12.75">
      <c r="H1494" s="151"/>
    </row>
    <row r="1495" ht="12.75">
      <c r="H1495" s="151"/>
    </row>
    <row r="1496" ht="12.75">
      <c r="H1496" s="151"/>
    </row>
    <row r="1497" ht="12.75">
      <c r="H1497" s="151"/>
    </row>
    <row r="1498" ht="12.75">
      <c r="H1498" s="151"/>
    </row>
    <row r="1499" ht="12.75">
      <c r="H1499" s="151"/>
    </row>
    <row r="1500" ht="12.75">
      <c r="H1500" s="151"/>
    </row>
    <row r="1501" ht="12.75">
      <c r="H1501" s="151"/>
    </row>
    <row r="1502" ht="12.75">
      <c r="H1502" s="151"/>
    </row>
    <row r="1503" ht="12.75">
      <c r="H1503" s="151"/>
    </row>
    <row r="1504" ht="12.75">
      <c r="H1504" s="151"/>
    </row>
    <row r="1505" ht="12.75">
      <c r="H1505" s="151"/>
    </row>
    <row r="1506" ht="12.75">
      <c r="H1506" s="151"/>
    </row>
    <row r="1507" ht="12.75">
      <c r="H1507" s="151"/>
    </row>
    <row r="1508" ht="12.75">
      <c r="H1508" s="151"/>
    </row>
    <row r="1509" ht="12.75">
      <c r="H1509" s="151"/>
    </row>
    <row r="1510" ht="12.75">
      <c r="H1510" s="151"/>
    </row>
    <row r="1511" ht="12.75">
      <c r="H1511" s="151"/>
    </row>
    <row r="1512" ht="12.75">
      <c r="H1512" s="151"/>
    </row>
    <row r="1513" ht="12.75">
      <c r="H1513" s="151"/>
    </row>
    <row r="1514" ht="12.75">
      <c r="H1514" s="151"/>
    </row>
    <row r="1515" ht="12.75">
      <c r="H1515" s="151"/>
    </row>
    <row r="1516" ht="12.75">
      <c r="H1516" s="151"/>
    </row>
    <row r="1517" ht="12.75">
      <c r="H1517" s="151"/>
    </row>
    <row r="1518" ht="12.75">
      <c r="H1518" s="151"/>
    </row>
    <row r="1519" ht="12.75">
      <c r="H1519" s="151"/>
    </row>
    <row r="1520" ht="12.75">
      <c r="H1520" s="151"/>
    </row>
    <row r="1521" ht="12.75">
      <c r="H1521" s="151"/>
    </row>
    <row r="1522" ht="12.75">
      <c r="H1522" s="151"/>
    </row>
    <row r="1523" ht="12.75">
      <c r="H1523" s="151"/>
    </row>
    <row r="1524" ht="12.75">
      <c r="H1524" s="151"/>
    </row>
    <row r="1525" ht="12.75">
      <c r="H1525" s="151"/>
    </row>
    <row r="1526" ht="12.75">
      <c r="H1526" s="151"/>
    </row>
    <row r="1527" ht="12.75">
      <c r="H1527" s="151"/>
    </row>
    <row r="1528" ht="12.75">
      <c r="H1528" s="151"/>
    </row>
    <row r="1529" ht="12.75">
      <c r="H1529" s="151"/>
    </row>
    <row r="1530" ht="12.75">
      <c r="H1530" s="151"/>
    </row>
    <row r="1531" ht="12.75">
      <c r="H1531" s="151"/>
    </row>
    <row r="1532" ht="12.75">
      <c r="H1532" s="151"/>
    </row>
    <row r="1533" ht="12.75">
      <c r="H1533" s="151"/>
    </row>
    <row r="1534" ht="12.75">
      <c r="H1534" s="151"/>
    </row>
    <row r="1535" ht="12.75">
      <c r="H1535" s="151"/>
    </row>
    <row r="1536" ht="12.75">
      <c r="H1536" s="151"/>
    </row>
    <row r="1537" ht="12.75">
      <c r="H1537" s="151"/>
    </row>
    <row r="1538" ht="12.75">
      <c r="H1538" s="151"/>
    </row>
    <row r="1539" ht="12.75">
      <c r="H1539" s="151"/>
    </row>
    <row r="1540" ht="12.75">
      <c r="H1540" s="151"/>
    </row>
    <row r="1541" ht="12.75">
      <c r="H1541" s="151"/>
    </row>
    <row r="1542" ht="12.75">
      <c r="H1542" s="151"/>
    </row>
    <row r="1543" ht="12.75">
      <c r="H1543" s="151"/>
    </row>
    <row r="1544" ht="12.75">
      <c r="H1544" s="151"/>
    </row>
    <row r="1545" ht="12.75">
      <c r="H1545" s="151"/>
    </row>
    <row r="1546" ht="12.75">
      <c r="H1546" s="151"/>
    </row>
    <row r="1547" ht="12.75">
      <c r="H1547" s="151"/>
    </row>
    <row r="1548" ht="12.75">
      <c r="H1548" s="151"/>
    </row>
    <row r="1549" ht="12.75">
      <c r="H1549" s="151"/>
    </row>
    <row r="1550" ht="12.75">
      <c r="H1550" s="151"/>
    </row>
    <row r="1551" ht="12.75">
      <c r="H1551" s="151"/>
    </row>
    <row r="1552" ht="12.75">
      <c r="H1552" s="151"/>
    </row>
    <row r="1553" ht="12.75">
      <c r="H1553" s="151"/>
    </row>
    <row r="1554" ht="12.75">
      <c r="H1554" s="151"/>
    </row>
    <row r="1555" ht="12.75">
      <c r="H1555" s="151"/>
    </row>
    <row r="1556" ht="12.75">
      <c r="H1556" s="151"/>
    </row>
    <row r="1557" ht="12.75">
      <c r="H1557" s="151"/>
    </row>
    <row r="1558" ht="12.75">
      <c r="H1558" s="151"/>
    </row>
    <row r="1559" ht="12.75">
      <c r="H1559" s="151"/>
    </row>
    <row r="1560" ht="12.75">
      <c r="H1560" s="151"/>
    </row>
    <row r="1561" ht="12.75">
      <c r="H1561" s="151"/>
    </row>
    <row r="1562" ht="12.75">
      <c r="H1562" s="151"/>
    </row>
    <row r="1563" ht="12.75">
      <c r="H1563" s="151"/>
    </row>
    <row r="1564" ht="12.75">
      <c r="H1564" s="151"/>
    </row>
    <row r="1565" ht="12.75">
      <c r="H1565" s="151"/>
    </row>
    <row r="1566" ht="12.75">
      <c r="H1566" s="151"/>
    </row>
    <row r="1567" ht="12.75">
      <c r="H1567" s="151"/>
    </row>
    <row r="1568" ht="12.75">
      <c r="H1568" s="151"/>
    </row>
    <row r="1569" ht="12.75">
      <c r="H1569" s="151"/>
    </row>
    <row r="1570" ht="12.75">
      <c r="H1570" s="151"/>
    </row>
    <row r="1571" ht="12.75">
      <c r="H1571" s="151"/>
    </row>
    <row r="1572" ht="12.75">
      <c r="H1572" s="151"/>
    </row>
    <row r="1573" ht="12.75">
      <c r="H1573" s="151"/>
    </row>
    <row r="1574" ht="12.75">
      <c r="H1574" s="151"/>
    </row>
    <row r="1575" ht="12.75">
      <c r="H1575" s="151"/>
    </row>
    <row r="1576" ht="12.75">
      <c r="H1576" s="151"/>
    </row>
    <row r="1577" ht="12.75">
      <c r="H1577" s="151"/>
    </row>
    <row r="1578" ht="12.75">
      <c r="H1578" s="151"/>
    </row>
    <row r="1579" ht="12.75">
      <c r="H1579" s="151"/>
    </row>
    <row r="1580" ht="12.75">
      <c r="H1580" s="151"/>
    </row>
    <row r="1581" ht="12.75">
      <c r="H1581" s="151"/>
    </row>
    <row r="1582" ht="12.75">
      <c r="H1582" s="151"/>
    </row>
    <row r="1583" ht="12.75">
      <c r="H1583" s="151"/>
    </row>
    <row r="1584" ht="12.75">
      <c r="H1584" s="151"/>
    </row>
    <row r="1585" ht="12.75">
      <c r="H1585" s="151"/>
    </row>
    <row r="1586" ht="12.75">
      <c r="H1586" s="151"/>
    </row>
    <row r="1587" ht="12.75">
      <c r="H1587" s="151"/>
    </row>
    <row r="1588" ht="12.75">
      <c r="H1588" s="151"/>
    </row>
    <row r="1589" ht="12.75">
      <c r="H1589" s="151"/>
    </row>
    <row r="1590" ht="12.75">
      <c r="H1590" s="151"/>
    </row>
    <row r="1591" ht="12.75">
      <c r="H1591" s="151"/>
    </row>
    <row r="1592" ht="12.75">
      <c r="H1592" s="151"/>
    </row>
    <row r="1593" ht="12.75">
      <c r="H1593" s="151"/>
    </row>
    <row r="1594" ht="12.75">
      <c r="H1594" s="151"/>
    </row>
    <row r="1595" ht="12.75">
      <c r="H1595" s="151"/>
    </row>
    <row r="1596" ht="12.75">
      <c r="H1596" s="151"/>
    </row>
    <row r="1597" ht="12.75">
      <c r="H1597" s="151"/>
    </row>
    <row r="1598" ht="12.75">
      <c r="H1598" s="151"/>
    </row>
    <row r="1599" ht="12.75">
      <c r="H1599" s="151"/>
    </row>
    <row r="1600" ht="12.75">
      <c r="H1600" s="151"/>
    </row>
    <row r="1601" ht="12.75">
      <c r="H1601" s="151"/>
    </row>
    <row r="1602" ht="12.75">
      <c r="H1602" s="151"/>
    </row>
    <row r="1603" ht="12.75">
      <c r="H1603" s="151"/>
    </row>
    <row r="1604" ht="12.75">
      <c r="H1604" s="151"/>
    </row>
    <row r="1605" ht="12.75">
      <c r="H1605" s="151"/>
    </row>
    <row r="1606" ht="12.75">
      <c r="H1606" s="151"/>
    </row>
    <row r="1607" ht="12.75">
      <c r="H1607" s="151"/>
    </row>
    <row r="1608" ht="12.75">
      <c r="H1608" s="151"/>
    </row>
    <row r="1609" ht="12.75">
      <c r="H1609" s="151"/>
    </row>
    <row r="1610" ht="12.75">
      <c r="H1610" s="151"/>
    </row>
    <row r="1611" ht="12.75">
      <c r="H1611" s="151"/>
    </row>
    <row r="1612" ht="12.75">
      <c r="H1612" s="151"/>
    </row>
    <row r="1613" ht="12.75">
      <c r="H1613" s="151"/>
    </row>
    <row r="1614" ht="12.75">
      <c r="H1614" s="151"/>
    </row>
    <row r="1615" ht="12.75">
      <c r="H1615" s="151"/>
    </row>
    <row r="1616" ht="12.75">
      <c r="H1616" s="151"/>
    </row>
    <row r="1617" ht="12.75">
      <c r="H1617" s="151"/>
    </row>
    <row r="1618" ht="12.75">
      <c r="H1618" s="151"/>
    </row>
    <row r="1619" ht="12.75">
      <c r="H1619" s="151"/>
    </row>
    <row r="1620" ht="12.75">
      <c r="H1620" s="151"/>
    </row>
    <row r="1621" ht="12.75">
      <c r="H1621" s="151"/>
    </row>
    <row r="1622" ht="12.75">
      <c r="H1622" s="151"/>
    </row>
    <row r="1623" ht="12.75">
      <c r="H1623" s="151"/>
    </row>
    <row r="1624" ht="12.75">
      <c r="H1624" s="151"/>
    </row>
    <row r="1625" ht="12.75">
      <c r="H1625" s="151"/>
    </row>
    <row r="1626" ht="12.75">
      <c r="H1626" s="151"/>
    </row>
    <row r="1627" ht="12.75">
      <c r="H1627" s="151"/>
    </row>
    <row r="1628" ht="12.75">
      <c r="H1628" s="151"/>
    </row>
    <row r="1629" ht="12.75">
      <c r="H1629" s="151"/>
    </row>
    <row r="1630" ht="12.75">
      <c r="H1630" s="151"/>
    </row>
    <row r="1631" ht="12.75">
      <c r="H1631" s="151"/>
    </row>
    <row r="1632" ht="12.75">
      <c r="H1632" s="151"/>
    </row>
    <row r="1633" ht="12.75">
      <c r="H1633" s="151"/>
    </row>
    <row r="1634" ht="12.75">
      <c r="H1634" s="151"/>
    </row>
    <row r="1635" ht="12.75">
      <c r="H1635" s="151"/>
    </row>
    <row r="1636" ht="12.75">
      <c r="H1636" s="151"/>
    </row>
    <row r="1637" ht="12.75">
      <c r="H1637" s="151"/>
    </row>
    <row r="1638" ht="12.75">
      <c r="H1638" s="151"/>
    </row>
    <row r="1639" ht="12.75">
      <c r="H1639" s="151"/>
    </row>
    <row r="1640" ht="12.75">
      <c r="H1640" s="151"/>
    </row>
    <row r="1641" ht="12.75">
      <c r="H1641" s="151"/>
    </row>
    <row r="1642" ht="12.75">
      <c r="H1642" s="151"/>
    </row>
    <row r="1643" ht="12.75">
      <c r="H1643" s="151"/>
    </row>
    <row r="1644" ht="12.75">
      <c r="H1644" s="151"/>
    </row>
    <row r="1645" ht="12.75">
      <c r="H1645" s="151"/>
    </row>
    <row r="1646" ht="12.75">
      <c r="H1646" s="151"/>
    </row>
    <row r="1647" ht="12.75">
      <c r="H1647" s="151"/>
    </row>
    <row r="1648" ht="12.75">
      <c r="H1648" s="151"/>
    </row>
    <row r="1649" ht="12.75">
      <c r="H1649" s="151"/>
    </row>
    <row r="1650" ht="12.75">
      <c r="H1650" s="151"/>
    </row>
    <row r="1651" ht="12.75">
      <c r="H1651" s="151"/>
    </row>
    <row r="1652" ht="12.75">
      <c r="H1652" s="151"/>
    </row>
    <row r="1653" ht="12.75">
      <c r="H1653" s="151"/>
    </row>
    <row r="1654" ht="12.75">
      <c r="H1654" s="151"/>
    </row>
    <row r="1655" ht="12.75">
      <c r="H1655" s="151"/>
    </row>
    <row r="1656" ht="12.75">
      <c r="H1656" s="151"/>
    </row>
    <row r="1657" ht="12.75">
      <c r="H1657" s="151"/>
    </row>
    <row r="1658" ht="12.75">
      <c r="H1658" s="151"/>
    </row>
    <row r="1659" ht="12.75">
      <c r="H1659" s="151"/>
    </row>
    <row r="1660" ht="12.75">
      <c r="H1660" s="151"/>
    </row>
    <row r="1661" ht="12.75">
      <c r="H1661" s="151"/>
    </row>
    <row r="1662" ht="12.75">
      <c r="H1662" s="151"/>
    </row>
    <row r="1663" ht="12.75">
      <c r="H1663" s="151"/>
    </row>
    <row r="1664" ht="12.75">
      <c r="H1664" s="151"/>
    </row>
    <row r="1665" ht="12.75">
      <c r="H1665" s="151"/>
    </row>
    <row r="1666" ht="12.75">
      <c r="H1666" s="151"/>
    </row>
    <row r="1667" ht="12.75">
      <c r="H1667" s="151"/>
    </row>
    <row r="1668" ht="12.75">
      <c r="H1668" s="151"/>
    </row>
    <row r="1669" ht="12.75">
      <c r="H1669" s="151"/>
    </row>
    <row r="1670" ht="12.75">
      <c r="H1670" s="151"/>
    </row>
    <row r="1671" ht="12.75">
      <c r="H1671" s="151"/>
    </row>
    <row r="1672" ht="12.75">
      <c r="H1672" s="151"/>
    </row>
    <row r="1673" ht="12.75">
      <c r="H1673" s="151"/>
    </row>
    <row r="1674" ht="12.75">
      <c r="H1674" s="151"/>
    </row>
    <row r="1675" ht="12.75">
      <c r="H1675" s="151"/>
    </row>
    <row r="1676" ht="12.75">
      <c r="H1676" s="151"/>
    </row>
    <row r="1677" ht="12.75">
      <c r="H1677" s="151"/>
    </row>
    <row r="1678" ht="12.75">
      <c r="H1678" s="151"/>
    </row>
    <row r="1679" ht="12.75">
      <c r="H1679" s="151"/>
    </row>
    <row r="1680" ht="12.75">
      <c r="H1680" s="151"/>
    </row>
    <row r="1681" ht="12.75">
      <c r="H1681" s="151"/>
    </row>
    <row r="1682" ht="12.75">
      <c r="H1682" s="151"/>
    </row>
    <row r="1683" ht="12.75">
      <c r="H1683" s="151"/>
    </row>
    <row r="1684" ht="12.75">
      <c r="H1684" s="151"/>
    </row>
    <row r="1685" ht="12.75">
      <c r="H1685" s="151"/>
    </row>
    <row r="1686" ht="12.75">
      <c r="H1686" s="151"/>
    </row>
    <row r="1687" ht="12.75">
      <c r="H1687" s="151"/>
    </row>
    <row r="1688" ht="12.75">
      <c r="H1688" s="151"/>
    </row>
    <row r="1689" ht="12.75">
      <c r="H1689" s="151"/>
    </row>
    <row r="1690" ht="12.75">
      <c r="H1690" s="151"/>
    </row>
    <row r="1691" ht="12.75">
      <c r="H1691" s="151"/>
    </row>
    <row r="1692" ht="12.75">
      <c r="H1692" s="151"/>
    </row>
    <row r="1693" ht="12.75">
      <c r="H1693" s="151"/>
    </row>
    <row r="1694" ht="12.75">
      <c r="H1694" s="151"/>
    </row>
    <row r="1695" ht="12.75">
      <c r="H1695" s="151"/>
    </row>
    <row r="1696" ht="12.75">
      <c r="H1696" s="151"/>
    </row>
    <row r="1697" ht="12.75">
      <c r="H1697" s="151"/>
    </row>
    <row r="1698" ht="12.75">
      <c r="H1698" s="151"/>
    </row>
    <row r="1699" ht="12.75">
      <c r="H1699" s="151"/>
    </row>
    <row r="1700" ht="12.75">
      <c r="H1700" s="151"/>
    </row>
    <row r="1701" ht="12.75">
      <c r="H1701" s="151"/>
    </row>
    <row r="1702" ht="12.75">
      <c r="H1702" s="151"/>
    </row>
    <row r="1703" ht="12.75">
      <c r="H1703" s="151"/>
    </row>
    <row r="1704" ht="12.75">
      <c r="H1704" s="151"/>
    </row>
    <row r="1705" ht="12.75">
      <c r="H1705" s="151"/>
    </row>
    <row r="1706" ht="12.75">
      <c r="H1706" s="151"/>
    </row>
    <row r="1707" ht="12.75">
      <c r="H1707" s="151"/>
    </row>
    <row r="1708" ht="12.75">
      <c r="H1708" s="151"/>
    </row>
    <row r="1709" ht="12.75">
      <c r="H1709" s="151"/>
    </row>
    <row r="1710" ht="12.75">
      <c r="H1710" s="151"/>
    </row>
    <row r="1711" ht="12.75">
      <c r="H1711" s="151"/>
    </row>
    <row r="1712" ht="12.75">
      <c r="H1712" s="151"/>
    </row>
    <row r="1713" ht="12.75">
      <c r="H1713" s="151"/>
    </row>
    <row r="1714" ht="12.75">
      <c r="H1714" s="151"/>
    </row>
    <row r="1715" ht="12.75">
      <c r="H1715" s="151"/>
    </row>
    <row r="1716" ht="12.75">
      <c r="H1716" s="151"/>
    </row>
    <row r="1717" ht="12.75">
      <c r="H1717" s="151"/>
    </row>
    <row r="1718" ht="12.75">
      <c r="H1718" s="151"/>
    </row>
    <row r="1719" ht="12.75">
      <c r="H1719" s="151"/>
    </row>
    <row r="1720" ht="12.75">
      <c r="H1720" s="151"/>
    </row>
    <row r="1721" ht="12.75">
      <c r="H1721" s="151"/>
    </row>
    <row r="1722" ht="12.75">
      <c r="H1722" s="151"/>
    </row>
    <row r="1723" ht="12.75">
      <c r="H1723" s="151"/>
    </row>
    <row r="1724" ht="12.75">
      <c r="H1724" s="151"/>
    </row>
    <row r="1725" ht="12.75">
      <c r="H1725" s="151"/>
    </row>
    <row r="1726" ht="12.75">
      <c r="H1726" s="151"/>
    </row>
    <row r="1727" ht="12.75">
      <c r="H1727" s="151"/>
    </row>
    <row r="1728" ht="12.75">
      <c r="H1728" s="151"/>
    </row>
    <row r="1729" ht="12.75">
      <c r="H1729" s="151"/>
    </row>
    <row r="1730" ht="12.75">
      <c r="H1730" s="151"/>
    </row>
    <row r="1731" ht="12.75">
      <c r="H1731" s="151"/>
    </row>
    <row r="1732" ht="12.75">
      <c r="H1732" s="151"/>
    </row>
    <row r="1733" ht="12.75">
      <c r="H1733" s="151"/>
    </row>
    <row r="1734" ht="12.75">
      <c r="H1734" s="151"/>
    </row>
    <row r="1735" ht="12.75">
      <c r="H1735" s="151"/>
    </row>
    <row r="1736" ht="12.75">
      <c r="H1736" s="151"/>
    </row>
    <row r="1737" ht="12.75">
      <c r="H1737" s="151"/>
    </row>
    <row r="1738" ht="12.75">
      <c r="H1738" s="151"/>
    </row>
    <row r="1739" ht="12.75">
      <c r="H1739" s="151"/>
    </row>
    <row r="1740" ht="12.75">
      <c r="H1740" s="151"/>
    </row>
    <row r="1741" ht="12.75">
      <c r="H1741" s="151"/>
    </row>
    <row r="1742" ht="12.75">
      <c r="H1742" s="151"/>
    </row>
    <row r="1743" ht="12.75">
      <c r="H1743" s="151"/>
    </row>
    <row r="1744" ht="12.75">
      <c r="H1744" s="151"/>
    </row>
    <row r="1745" ht="12.75">
      <c r="H1745" s="151"/>
    </row>
    <row r="1746" ht="12.75">
      <c r="H1746" s="151"/>
    </row>
    <row r="1747" ht="12.75">
      <c r="H1747" s="151"/>
    </row>
    <row r="1748" ht="12.75">
      <c r="H1748" s="151"/>
    </row>
    <row r="1749" ht="12.75">
      <c r="H1749" s="151"/>
    </row>
    <row r="1750" ht="12.75">
      <c r="H1750" s="151"/>
    </row>
    <row r="1751" ht="12.75">
      <c r="H1751" s="151"/>
    </row>
    <row r="1752" ht="12.75">
      <c r="H1752" s="151"/>
    </row>
    <row r="1753" ht="12.75">
      <c r="H1753" s="151"/>
    </row>
    <row r="1754" ht="12.75">
      <c r="H1754" s="151"/>
    </row>
    <row r="1755" ht="12.75">
      <c r="H1755" s="151"/>
    </row>
    <row r="1756" ht="12.75">
      <c r="H1756" s="151"/>
    </row>
    <row r="1757" ht="12.75">
      <c r="H1757" s="151"/>
    </row>
    <row r="1758" ht="12.75">
      <c r="H1758" s="151"/>
    </row>
    <row r="1759" ht="12.75">
      <c r="H1759" s="151"/>
    </row>
    <row r="1760" ht="12.75">
      <c r="H1760" s="151"/>
    </row>
    <row r="1761" ht="12.75">
      <c r="H1761" s="151"/>
    </row>
    <row r="1762" ht="12.75">
      <c r="H1762" s="151"/>
    </row>
    <row r="1763" ht="12.75">
      <c r="H1763" s="151"/>
    </row>
    <row r="1764" ht="12.75">
      <c r="H1764" s="151"/>
    </row>
    <row r="1765" ht="12.75">
      <c r="H1765" s="151"/>
    </row>
    <row r="1766" ht="12.75">
      <c r="H1766" s="151"/>
    </row>
    <row r="1767" ht="12.75">
      <c r="H1767" s="151"/>
    </row>
    <row r="1768" ht="12.75">
      <c r="H1768" s="151"/>
    </row>
    <row r="1769" ht="12.75">
      <c r="H1769" s="151"/>
    </row>
    <row r="1770" ht="12.75">
      <c r="H1770" s="151"/>
    </row>
    <row r="1771" ht="12.75">
      <c r="H1771" s="151"/>
    </row>
    <row r="1772" ht="12.75">
      <c r="H1772" s="151"/>
    </row>
    <row r="1773" ht="12.75">
      <c r="H1773" s="151"/>
    </row>
    <row r="1774" ht="12.75">
      <c r="H1774" s="151"/>
    </row>
    <row r="1775" ht="12.75">
      <c r="H1775" s="151"/>
    </row>
    <row r="1776" ht="12.75">
      <c r="H1776" s="151"/>
    </row>
    <row r="1777" ht="12.75">
      <c r="H1777" s="151"/>
    </row>
    <row r="1778" ht="12.75">
      <c r="H1778" s="151"/>
    </row>
    <row r="1779" ht="12.75">
      <c r="H1779" s="151"/>
    </row>
    <row r="1780" ht="12.75">
      <c r="H1780" s="151"/>
    </row>
    <row r="1781" ht="12.75">
      <c r="H1781" s="151"/>
    </row>
    <row r="1782" ht="12.75">
      <c r="H1782" s="151"/>
    </row>
    <row r="1783" ht="12.75">
      <c r="H1783" s="151"/>
    </row>
    <row r="1784" ht="12.75">
      <c r="H1784" s="151"/>
    </row>
    <row r="1785" ht="12.75">
      <c r="H1785" s="151"/>
    </row>
    <row r="1786" ht="12.75">
      <c r="H1786" s="151"/>
    </row>
    <row r="1787" ht="12.75">
      <c r="H1787" s="151"/>
    </row>
  </sheetData>
  <sheetProtection/>
  <mergeCells count="42">
    <mergeCell ref="AA19:AG19"/>
    <mergeCell ref="AA28:AG28"/>
    <mergeCell ref="AA1:AG1"/>
    <mergeCell ref="AA16:AG16"/>
    <mergeCell ref="AA13:AG13"/>
    <mergeCell ref="AA3:AG3"/>
    <mergeCell ref="AA5:AF5"/>
    <mergeCell ref="AA6:AG6"/>
    <mergeCell ref="AA15:AG15"/>
    <mergeCell ref="AA7:AG7"/>
    <mergeCell ref="AA10:AF10"/>
    <mergeCell ref="AA11:AG11"/>
    <mergeCell ref="AA4:AG4"/>
    <mergeCell ref="AA46:AG46"/>
    <mergeCell ref="AA45:AG45"/>
    <mergeCell ref="AA34:AG34"/>
    <mergeCell ref="AA40:AG40"/>
    <mergeCell ref="AA43:AG43"/>
    <mergeCell ref="AA37:AG37"/>
    <mergeCell ref="AA38:AG38"/>
    <mergeCell ref="AA57:AG57"/>
    <mergeCell ref="AA52:AF52"/>
    <mergeCell ref="AA41:AG41"/>
    <mergeCell ref="AA55:AG55"/>
    <mergeCell ref="AA48:AG48"/>
    <mergeCell ref="AA51:AF51"/>
    <mergeCell ref="AA47:AG47"/>
    <mergeCell ref="AA50:AF50"/>
    <mergeCell ref="AA49:AG49"/>
    <mergeCell ref="AA30:AG30"/>
    <mergeCell ref="AA33:AF33"/>
    <mergeCell ref="AA31:AG31"/>
    <mergeCell ref="AA44:AG44"/>
    <mergeCell ref="AA32:AG32"/>
    <mergeCell ref="AA36:AG36"/>
    <mergeCell ref="AA20:AG20"/>
    <mergeCell ref="AA27:AG27"/>
    <mergeCell ref="AA25:AG25"/>
    <mergeCell ref="AA26:AG26"/>
    <mergeCell ref="AA24:AG24"/>
    <mergeCell ref="AA22:AG22"/>
    <mergeCell ref="AA23:AG23"/>
  </mergeCells>
  <printOptions headings="1" horizontalCentered="1"/>
  <pageMargins left="0.5" right="0.2" top="0.55" bottom="0.55" header="0" footer="0.17"/>
  <pageSetup fitToHeight="1" fitToWidth="1" horizontalDpi="300" verticalDpi="300" orientation="landscape" paperSize="3" scale="43" r:id="rId1"/>
  <headerFooter alignWithMargins="0">
    <oddFooter>&amp;C&amp;K000000&amp;F&amp;R&amp;K000000Page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U87"/>
  <sheetViews>
    <sheetView zoomScale="90" zoomScaleNormal="90" zoomScaleSheetLayoutView="90" zoomScalePageLayoutView="0" workbookViewId="0" topLeftCell="A38">
      <selection activeCell="B71" sqref="B71"/>
    </sheetView>
  </sheetViews>
  <sheetFormatPr defaultColWidth="10.00390625" defaultRowHeight="12.75"/>
  <cols>
    <col min="1" max="1" width="10.140625" style="0" customWidth="1"/>
    <col min="2" max="2" width="14.7109375" style="9" customWidth="1"/>
    <col min="3" max="3" width="9.28125" style="9" customWidth="1"/>
    <col min="4" max="4" width="6.7109375" style="9" customWidth="1"/>
    <col min="5" max="5" width="6.28125" style="9" customWidth="1"/>
    <col min="6" max="6" width="7.00390625" style="9" customWidth="1"/>
    <col min="7" max="7" width="6.140625" style="9" customWidth="1"/>
    <col min="8" max="8" width="10.8515625" style="9" customWidth="1"/>
    <col min="9" max="9" width="24.421875" style="9" customWidth="1"/>
    <col min="10" max="10" width="33.57421875" style="9" customWidth="1"/>
    <col min="11" max="11" width="14.8515625" style="9" customWidth="1"/>
    <col min="12" max="12" width="8.140625" style="9" customWidth="1"/>
    <col min="13" max="13" width="8.8515625" style="9" customWidth="1"/>
    <col min="14" max="14" width="11.28125" style="9" customWidth="1"/>
    <col min="15" max="15" width="8.421875" style="9" customWidth="1"/>
    <col min="16" max="16" width="0.9921875" style="9" customWidth="1"/>
    <col min="17" max="17" width="37.421875" style="9" customWidth="1"/>
    <col min="18" max="25" width="10.00390625" style="9" customWidth="1"/>
    <col min="26" max="26" width="12.8515625" style="9" customWidth="1"/>
    <col min="27" max="255" width="10.00390625" style="9" customWidth="1"/>
  </cols>
  <sheetData>
    <row r="1" ht="20.25">
      <c r="A1" s="43" t="s">
        <v>89</v>
      </c>
    </row>
    <row r="2" spans="2:17" ht="12.75" hidden="1">
      <c r="B2" s="8"/>
      <c r="G2" s="9" t="s">
        <v>26</v>
      </c>
      <c r="M2" s="9" t="s">
        <v>123</v>
      </c>
      <c r="N2" s="9" t="s">
        <v>132</v>
      </c>
      <c r="Q2" s="144" t="s">
        <v>279</v>
      </c>
    </row>
    <row r="3" spans="2:17" ht="12.75" hidden="1">
      <c r="B3" s="8"/>
      <c r="H3" s="8" t="s">
        <v>27</v>
      </c>
      <c r="I3" s="8" t="s">
        <v>28</v>
      </c>
      <c r="J3" s="8"/>
      <c r="K3" s="8" t="s">
        <v>29</v>
      </c>
      <c r="M3" s="51" t="s">
        <v>124</v>
      </c>
      <c r="N3" s="52">
        <v>156.9</v>
      </c>
      <c r="Q3" s="9" t="s">
        <v>257</v>
      </c>
    </row>
    <row r="4" spans="2:15" ht="12.75" hidden="1">
      <c r="B4" s="8" t="s">
        <v>30</v>
      </c>
      <c r="C4" s="10">
        <v>84220</v>
      </c>
      <c r="D4" s="10"/>
      <c r="G4" s="8" t="s">
        <v>31</v>
      </c>
      <c r="H4" s="11">
        <f>4800/90/4</f>
        <v>13.333333333333334</v>
      </c>
      <c r="I4" s="10">
        <v>3600</v>
      </c>
      <c r="J4" s="10"/>
      <c r="K4" s="10">
        <f>H4*I4</f>
        <v>48000</v>
      </c>
      <c r="M4" s="51" t="s">
        <v>125</v>
      </c>
      <c r="N4" s="52">
        <v>160.5</v>
      </c>
      <c r="O4" s="54">
        <f>(N4-N3)/N3</f>
        <v>0.022944550669216024</v>
      </c>
    </row>
    <row r="5" spans="2:15" ht="12.75" hidden="1">
      <c r="B5" s="8" t="s">
        <v>32</v>
      </c>
      <c r="C5" s="10">
        <v>26200</v>
      </c>
      <c r="D5" s="10"/>
      <c r="G5" s="8" t="s">
        <v>33</v>
      </c>
      <c r="H5" s="9">
        <v>14</v>
      </c>
      <c r="I5" s="10">
        <v>3600</v>
      </c>
      <c r="J5" s="10"/>
      <c r="K5" s="10">
        <f>H5*I5</f>
        <v>50400</v>
      </c>
      <c r="M5" s="51" t="s">
        <v>126</v>
      </c>
      <c r="N5" s="52">
        <v>163</v>
      </c>
      <c r="O5" s="54">
        <f aca="true" t="shared" si="0" ref="O5:O17">(N5-N4)/N4</f>
        <v>0.01557632398753894</v>
      </c>
    </row>
    <row r="6" spans="2:15" ht="12.75" hidden="1">
      <c r="B6" s="8" t="s">
        <v>31</v>
      </c>
      <c r="C6" s="10">
        <v>67576</v>
      </c>
      <c r="D6" s="10"/>
      <c r="G6" s="8" t="s">
        <v>34</v>
      </c>
      <c r="H6" s="9">
        <v>2</v>
      </c>
      <c r="I6" s="10">
        <v>3500</v>
      </c>
      <c r="J6" s="10"/>
      <c r="K6" s="10">
        <f>H6*I6</f>
        <v>7000</v>
      </c>
      <c r="M6" s="51" t="s">
        <v>127</v>
      </c>
      <c r="N6" s="52">
        <v>166.6</v>
      </c>
      <c r="O6" s="54">
        <f t="shared" si="0"/>
        <v>0.022085889570552113</v>
      </c>
    </row>
    <row r="7" spans="3:15" ht="12.75" hidden="1">
      <c r="C7" s="12" t="s">
        <v>35</v>
      </c>
      <c r="D7" s="12"/>
      <c r="G7" s="8" t="s">
        <v>36</v>
      </c>
      <c r="H7" s="11">
        <f>H4+2</f>
        <v>15.333333333333334</v>
      </c>
      <c r="I7" s="10">
        <v>500</v>
      </c>
      <c r="J7" s="10"/>
      <c r="K7" s="10">
        <f>H7*I7</f>
        <v>7666.666666666667</v>
      </c>
      <c r="M7" s="51" t="s">
        <v>128</v>
      </c>
      <c r="N7" s="52">
        <v>172.2</v>
      </c>
      <c r="O7" s="54">
        <f t="shared" si="0"/>
        <v>0.033613445378151224</v>
      </c>
    </row>
    <row r="8" spans="2:15" ht="12.75" hidden="1">
      <c r="B8" s="8" t="s">
        <v>29</v>
      </c>
      <c r="C8" s="10">
        <f>SUM(C4:C6)</f>
        <v>177996</v>
      </c>
      <c r="D8" s="10"/>
      <c r="K8" s="12" t="s">
        <v>35</v>
      </c>
      <c r="M8" s="51" t="s">
        <v>129</v>
      </c>
      <c r="N8" s="52">
        <v>177.1</v>
      </c>
      <c r="O8" s="54">
        <f t="shared" si="0"/>
        <v>0.028455284552845562</v>
      </c>
    </row>
    <row r="9" spans="2:15" ht="12.75" hidden="1">
      <c r="B9" s="8" t="s">
        <v>117</v>
      </c>
      <c r="C9" s="10">
        <f>C8-K9</f>
        <v>64929.33333333333</v>
      </c>
      <c r="D9" s="10"/>
      <c r="I9" s="8" t="s">
        <v>38</v>
      </c>
      <c r="J9" s="8"/>
      <c r="K9" s="13">
        <f>SUM(K4:K7)</f>
        <v>113066.66666666667</v>
      </c>
      <c r="M9" s="51" t="s">
        <v>130</v>
      </c>
      <c r="N9" s="52">
        <v>179.9</v>
      </c>
      <c r="O9" s="54">
        <f t="shared" si="0"/>
        <v>0.015810276679841962</v>
      </c>
    </row>
    <row r="10" spans="2:15" ht="12.75" hidden="1">
      <c r="B10" s="14" t="s">
        <v>39</v>
      </c>
      <c r="C10" s="10">
        <f>26*1000</f>
        <v>26000</v>
      </c>
      <c r="D10" s="10"/>
      <c r="E10" s="9" t="s">
        <v>40</v>
      </c>
      <c r="I10" s="8"/>
      <c r="J10" s="8"/>
      <c r="K10" s="13"/>
      <c r="M10" s="51" t="s">
        <v>131</v>
      </c>
      <c r="N10" s="52">
        <v>184</v>
      </c>
      <c r="O10" s="54">
        <f t="shared" si="0"/>
        <v>0.022790439132851552</v>
      </c>
    </row>
    <row r="11" spans="2:17" ht="12.75" hidden="1">
      <c r="B11" s="14" t="s">
        <v>41</v>
      </c>
      <c r="C11" s="10">
        <f>(25*800)+(3*1250)</f>
        <v>23750</v>
      </c>
      <c r="D11" s="10"/>
      <c r="E11" s="9" t="s">
        <v>42</v>
      </c>
      <c r="I11" s="8"/>
      <c r="J11" s="8"/>
      <c r="K11" s="13"/>
      <c r="M11" s="18">
        <v>2004</v>
      </c>
      <c r="N11" s="52">
        <v>188.9</v>
      </c>
      <c r="O11" s="54">
        <f t="shared" si="0"/>
        <v>0.026630434782608726</v>
      </c>
      <c r="Q11" s="62">
        <v>0.023</v>
      </c>
    </row>
    <row r="12" spans="1:17" ht="12.75" hidden="1">
      <c r="A12" s="15" t="s">
        <v>43</v>
      </c>
      <c r="B12" s="8"/>
      <c r="C12" s="10"/>
      <c r="D12" s="10"/>
      <c r="I12" s="8"/>
      <c r="J12" s="8"/>
      <c r="K12" s="13"/>
      <c r="M12" s="18">
        <v>2005</v>
      </c>
      <c r="N12" s="142">
        <v>195.3</v>
      </c>
      <c r="O12" s="54">
        <f t="shared" si="0"/>
        <v>0.033880359978824805</v>
      </c>
      <c r="Q12" s="62">
        <v>0.023</v>
      </c>
    </row>
    <row r="13" spans="2:17" ht="12.75" hidden="1">
      <c r="B13" s="16" t="s">
        <v>38</v>
      </c>
      <c r="C13" s="17">
        <v>113067</v>
      </c>
      <c r="D13" s="10"/>
      <c r="I13" s="8"/>
      <c r="J13" s="8"/>
      <c r="K13" s="10"/>
      <c r="M13" s="18">
        <v>2006</v>
      </c>
      <c r="N13" s="142">
        <v>201.6</v>
      </c>
      <c r="O13" s="54">
        <f t="shared" si="0"/>
        <v>0.03225806451612894</v>
      </c>
      <c r="Q13" s="62">
        <v>0.023</v>
      </c>
    </row>
    <row r="14" spans="2:17" ht="12.75" hidden="1">
      <c r="B14" s="16" t="s">
        <v>37</v>
      </c>
      <c r="C14" s="17">
        <v>64929</v>
      </c>
      <c r="D14" s="10"/>
      <c r="M14" s="149">
        <v>2007</v>
      </c>
      <c r="N14" s="148">
        <v>207.34</v>
      </c>
      <c r="O14" s="54">
        <f t="shared" si="0"/>
        <v>0.028472222222222267</v>
      </c>
      <c r="Q14" s="62">
        <v>0.0302</v>
      </c>
    </row>
    <row r="15" spans="2:18" ht="12.75" hidden="1">
      <c r="B15" s="16" t="s">
        <v>41</v>
      </c>
      <c r="C15" s="17">
        <v>23750</v>
      </c>
      <c r="D15" s="10"/>
      <c r="M15" s="18">
        <v>2008</v>
      </c>
      <c r="N15" s="148">
        <v>215.3</v>
      </c>
      <c r="O15" s="54">
        <f t="shared" si="0"/>
        <v>0.03839104851934025</v>
      </c>
      <c r="Q15" s="150">
        <v>0.0285</v>
      </c>
      <c r="R15" s="144"/>
    </row>
    <row r="16" spans="2:17" ht="12.75" hidden="1">
      <c r="B16" s="16"/>
      <c r="C16" s="12" t="s">
        <v>35</v>
      </c>
      <c r="D16" s="12"/>
      <c r="M16" s="149">
        <v>2009</v>
      </c>
      <c r="N16" s="148">
        <v>214.537</v>
      </c>
      <c r="O16" s="54">
        <f t="shared" si="0"/>
        <v>-0.0035438922433813523</v>
      </c>
      <c r="Q16" s="150">
        <v>0.0257</v>
      </c>
    </row>
    <row r="17" spans="2:24" ht="15" hidden="1">
      <c r="B17" s="8" t="s">
        <v>44</v>
      </c>
      <c r="C17" s="10">
        <f>SUM(C13:C15)</f>
        <v>201746</v>
      </c>
      <c r="D17" s="10"/>
      <c r="M17" s="14" t="s">
        <v>334</v>
      </c>
      <c r="N17" s="52">
        <f>AVERAGE(S17:X17)</f>
        <v>217.53516666666667</v>
      </c>
      <c r="O17" s="54">
        <f t="shared" si="0"/>
        <v>0.01397505636168429</v>
      </c>
      <c r="Q17" s="150">
        <v>0.0235</v>
      </c>
      <c r="S17" s="240">
        <v>216.687</v>
      </c>
      <c r="T17" s="9">
        <v>216.741</v>
      </c>
      <c r="U17" s="9">
        <v>217.631</v>
      </c>
      <c r="V17" s="9">
        <v>218.009</v>
      </c>
      <c r="W17" s="9">
        <v>218.178</v>
      </c>
      <c r="X17" s="9">
        <v>217.965</v>
      </c>
    </row>
    <row r="18" spans="2:18" ht="12.75" hidden="1">
      <c r="B18" s="8"/>
      <c r="M18" s="144" t="s">
        <v>247</v>
      </c>
      <c r="O18" s="62">
        <f>AVERAGE(O4:O17)</f>
        <v>0.02366710743631609</v>
      </c>
      <c r="Q18" s="62">
        <f>intrate</f>
        <v>0.020099999999999996</v>
      </c>
      <c r="R18" s="144" t="s">
        <v>333</v>
      </c>
    </row>
    <row r="19" spans="2:4" ht="12.75" hidden="1">
      <c r="B19" s="16" t="s">
        <v>45</v>
      </c>
      <c r="C19" s="53">
        <v>0.03</v>
      </c>
      <c r="D19" s="62"/>
    </row>
    <row r="20" spans="2:4" ht="12.75" hidden="1">
      <c r="B20" s="16" t="s">
        <v>46</v>
      </c>
      <c r="C20" s="53">
        <v>0.024</v>
      </c>
      <c r="D20" s="62"/>
    </row>
    <row r="21" spans="2:4" ht="12.75" hidden="1">
      <c r="B21" s="16" t="s">
        <v>47</v>
      </c>
      <c r="C21" s="53">
        <v>0.33</v>
      </c>
      <c r="D21" s="62"/>
    </row>
    <row r="22" spans="2:26" ht="12.75" hidden="1">
      <c r="B22" s="16" t="s">
        <v>248</v>
      </c>
      <c r="C22" s="62">
        <f>(1-C21)*C19</f>
        <v>0.020099999999999996</v>
      </c>
      <c r="D22" s="62"/>
      <c r="G22" s="25"/>
      <c r="H22" s="16" t="s">
        <v>336</v>
      </c>
      <c r="I22" s="251">
        <v>2013</v>
      </c>
      <c r="J22" s="25"/>
      <c r="L22" s="8"/>
      <c r="M22" s="8"/>
      <c r="P22" s="8"/>
      <c r="Q22" s="8"/>
      <c r="R22" s="255" t="s">
        <v>339</v>
      </c>
      <c r="S22" s="254"/>
      <c r="T22" s="254"/>
      <c r="U22" s="254"/>
      <c r="V22" s="254"/>
      <c r="W22" s="254"/>
      <c r="X22" s="254"/>
      <c r="Y22" s="253"/>
      <c r="Z22" s="253"/>
    </row>
    <row r="23" spans="11:26" ht="12.75" hidden="1">
      <c r="K23" s="8"/>
      <c r="L23" s="19"/>
      <c r="M23" s="19"/>
      <c r="N23" s="8"/>
      <c r="O23" s="8"/>
      <c r="P23" s="38"/>
      <c r="R23" s="254">
        <v>5.17</v>
      </c>
      <c r="S23" s="254">
        <v>2</v>
      </c>
      <c r="T23" s="254">
        <v>4.55</v>
      </c>
      <c r="U23" s="254">
        <v>3.2</v>
      </c>
      <c r="V23" s="254">
        <v>4.2</v>
      </c>
      <c r="W23" s="254">
        <v>1.5</v>
      </c>
      <c r="X23" s="256">
        <f>AVERAGE(R23:W23)</f>
        <v>3.436666666666666</v>
      </c>
      <c r="Y23" s="253"/>
      <c r="Z23" s="253"/>
    </row>
    <row r="24" spans="1:255" s="39" customFormat="1" ht="45" customHeight="1" hidden="1">
      <c r="A24" s="34" t="s">
        <v>48</v>
      </c>
      <c r="B24" s="35"/>
      <c r="C24" s="36" t="s">
        <v>283</v>
      </c>
      <c r="D24" s="36" t="s">
        <v>281</v>
      </c>
      <c r="E24" s="36" t="s">
        <v>282</v>
      </c>
      <c r="F24" s="36" t="s">
        <v>284</v>
      </c>
      <c r="G24" s="36" t="s">
        <v>285</v>
      </c>
      <c r="H24" s="36" t="s">
        <v>86</v>
      </c>
      <c r="I24" s="36" t="s">
        <v>337</v>
      </c>
      <c r="J24" s="36" t="s">
        <v>286</v>
      </c>
      <c r="K24" s="36" t="s">
        <v>85</v>
      </c>
      <c r="L24" s="36" t="s">
        <v>287</v>
      </c>
      <c r="M24" s="36"/>
      <c r="N24" s="37"/>
      <c r="O24" s="37"/>
      <c r="P24" s="19"/>
      <c r="Q24" s="19"/>
      <c r="R24" s="260" t="s">
        <v>345</v>
      </c>
      <c r="S24" s="257"/>
      <c r="T24" s="258"/>
      <c r="U24" s="258"/>
      <c r="V24" s="258"/>
      <c r="W24" s="258"/>
      <c r="X24" s="259"/>
      <c r="Y24" s="258"/>
      <c r="Z24" s="258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</row>
    <row r="25" spans="1:20" ht="12.75" hidden="1">
      <c r="A25" s="23">
        <v>1</v>
      </c>
      <c r="B25" s="8" t="s">
        <v>38</v>
      </c>
      <c r="C25" s="10">
        <v>113067</v>
      </c>
      <c r="D25" s="152">
        <v>1996</v>
      </c>
      <c r="E25" s="21">
        <v>28</v>
      </c>
      <c r="F25" s="153">
        <f>D25+E25-CurrentYear</f>
        <v>11</v>
      </c>
      <c r="G25" s="22">
        <f>A25*C25*(1+inflation)^E25</f>
        <v>219651.74363728648</v>
      </c>
      <c r="H25" s="40">
        <f>G25/$G$29</f>
        <v>0.5230689894709298</v>
      </c>
      <c r="I25" s="22">
        <f>H25*$I$29</f>
        <v>69192.39237621796</v>
      </c>
      <c r="J25" s="22">
        <f>A25*I25*(1+intrate)^F25</f>
        <v>86124.86816478724</v>
      </c>
      <c r="K25" s="22">
        <f>G25-J25</f>
        <v>133526.87547249923</v>
      </c>
      <c r="L25" s="11">
        <f>(K25*intrate/(((1+intrate)^F25)-1))/(27*12)</f>
        <v>33.84991772727177</v>
      </c>
      <c r="M25" s="11"/>
      <c r="P25" s="19"/>
      <c r="Q25" s="19"/>
      <c r="R25" s="10"/>
      <c r="S25" s="11"/>
      <c r="T25" s="10"/>
    </row>
    <row r="26" spans="1:20" ht="12.75" hidden="1">
      <c r="A26" s="23">
        <v>1</v>
      </c>
      <c r="B26" s="8" t="s">
        <v>117</v>
      </c>
      <c r="C26" s="10">
        <f>A26*C14</f>
        <v>64929</v>
      </c>
      <c r="D26" s="152">
        <v>1996</v>
      </c>
      <c r="E26" s="21">
        <v>28</v>
      </c>
      <c r="F26" s="153">
        <f>D26+E26-CurrentYear</f>
        <v>11</v>
      </c>
      <c r="G26" s="22">
        <f>A26*C26*(1+inflation)^E26</f>
        <v>126135.54850332433</v>
      </c>
      <c r="H26" s="40">
        <f>G26/$G$29</f>
        <v>0.30037364056141935</v>
      </c>
      <c r="I26" s="22">
        <f>H26*$I$29</f>
        <v>39733.89976381663</v>
      </c>
      <c r="J26" s="22">
        <f>A26*I26*(1+intrate)^F26</f>
        <v>49457.41520577595</v>
      </c>
      <c r="K26" s="22">
        <f>G26-J26</f>
        <v>76678.13329754838</v>
      </c>
      <c r="L26" s="11">
        <f>(K26*intrate/(((1+intrate)^F26)-1))/(27*12)</f>
        <v>19.43839765903428</v>
      </c>
      <c r="M26" s="11"/>
      <c r="P26" s="19"/>
      <c r="Q26" s="19"/>
      <c r="R26" s="10"/>
      <c r="S26" s="11"/>
      <c r="T26" s="10"/>
    </row>
    <row r="27" spans="1:17" ht="12.75" hidden="1">
      <c r="A27" s="23">
        <v>1</v>
      </c>
      <c r="B27" s="8" t="s">
        <v>51</v>
      </c>
      <c r="C27" s="10">
        <f>A27*C15</f>
        <v>23750</v>
      </c>
      <c r="D27" s="152">
        <v>1996</v>
      </c>
      <c r="E27" s="21">
        <v>48</v>
      </c>
      <c r="F27" s="153">
        <f>D27+E27-CurrentYear</f>
        <v>31</v>
      </c>
      <c r="G27" s="22">
        <f>A27*C27*(1+inflation)^E27</f>
        <v>74141.52807000477</v>
      </c>
      <c r="H27" s="40">
        <f>G27/$G$29</f>
        <v>0.1765573699676508</v>
      </c>
      <c r="I27" s="22">
        <f>H27*$I$29</f>
        <v>23355.287859965396</v>
      </c>
      <c r="J27" s="22">
        <f>A27*I27*(1+intrate)^F27</f>
        <v>43282.30678363233</v>
      </c>
      <c r="K27" s="22">
        <f>G27-J27</f>
        <v>30859.22128637244</v>
      </c>
      <c r="L27" s="11">
        <f>(K27*intrate/(((1+intrate)^F27)-1))/(27*12)</f>
        <v>2.24377291434825</v>
      </c>
      <c r="M27" s="11"/>
      <c r="P27" s="19"/>
      <c r="Q27" s="19"/>
    </row>
    <row r="28" spans="2:20" ht="12.75" hidden="1">
      <c r="B28" s="8"/>
      <c r="C28" s="12" t="s">
        <v>35</v>
      </c>
      <c r="D28" s="12"/>
      <c r="G28" s="12" t="s">
        <v>35</v>
      </c>
      <c r="H28" s="12"/>
      <c r="I28" s="12" t="s">
        <v>35</v>
      </c>
      <c r="J28" s="12"/>
      <c r="K28" s="12" t="s">
        <v>35</v>
      </c>
      <c r="L28" s="12" t="s">
        <v>35</v>
      </c>
      <c r="M28" s="12"/>
      <c r="P28" s="19"/>
      <c r="Q28" s="19"/>
      <c r="R28" s="10"/>
      <c r="S28" s="11"/>
      <c r="T28" s="10"/>
    </row>
    <row r="29" spans="2:20" ht="12.75" hidden="1">
      <c r="B29" s="8" t="s">
        <v>29</v>
      </c>
      <c r="C29" s="10">
        <f>SUM(C25:C27)</f>
        <v>201746</v>
      </c>
      <c r="D29" s="10"/>
      <c r="G29" s="10">
        <f>SUM(G25:G27)</f>
        <v>419928.8202106156</v>
      </c>
      <c r="H29" s="10"/>
      <c r="I29" s="17">
        <f>K49</f>
        <v>132281.58</v>
      </c>
      <c r="J29" s="10">
        <f>SUM(J25:J28)</f>
        <v>178864.5901541955</v>
      </c>
      <c r="K29" s="10">
        <f>SUM(K25:K27)</f>
        <v>241064.23005642009</v>
      </c>
      <c r="L29" s="11">
        <f>SUM(L25:L27)</f>
        <v>55.5320883006543</v>
      </c>
      <c r="M29" s="11"/>
      <c r="N29" s="24"/>
      <c r="P29" s="19"/>
      <c r="Q29" s="19"/>
      <c r="R29" s="10"/>
      <c r="S29" s="11"/>
      <c r="T29" s="10"/>
    </row>
    <row r="30" spans="9:20" ht="12.75" hidden="1">
      <c r="I30" s="22"/>
      <c r="L30" s="41"/>
      <c r="M30" s="41"/>
      <c r="N30" s="25"/>
      <c r="P30" s="19"/>
      <c r="Q30" s="19"/>
      <c r="R30" s="10"/>
      <c r="S30" s="11"/>
      <c r="T30" s="10"/>
    </row>
    <row r="31" spans="2:20" ht="19.5" customHeight="1" hidden="1">
      <c r="B31" s="25"/>
      <c r="L31" s="121">
        <f>L29*12*27</f>
        <v>17992.396609411993</v>
      </c>
      <c r="M31" s="25" t="s">
        <v>206</v>
      </c>
      <c r="P31" s="19"/>
      <c r="Q31" s="19"/>
      <c r="R31" s="10"/>
      <c r="S31" s="11"/>
      <c r="T31" s="10"/>
    </row>
    <row r="32" spans="1:255" ht="63.75">
      <c r="A32" s="722" t="s">
        <v>170</v>
      </c>
      <c r="B32" s="722"/>
      <c r="C32" s="263" t="s">
        <v>175</v>
      </c>
      <c r="D32" s="263"/>
      <c r="E32" s="263" t="s">
        <v>328</v>
      </c>
      <c r="F32" s="44"/>
      <c r="G32"/>
      <c r="H32"/>
      <c r="I32" s="44" t="s">
        <v>207</v>
      </c>
      <c r="J32" s="32" t="s">
        <v>329</v>
      </c>
      <c r="K32" s="32" t="s">
        <v>330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12.75">
      <c r="A33" s="723" t="s">
        <v>173</v>
      </c>
      <c r="B33" s="723"/>
      <c r="C33" s="463">
        <v>275</v>
      </c>
      <c r="D33" s="193"/>
      <c r="E33" s="193"/>
      <c r="F33" s="46"/>
      <c r="G33"/>
      <c r="H33"/>
      <c r="I33" s="63"/>
      <c r="J33" s="63"/>
      <c r="K33" s="6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12.75">
      <c r="A34" s="193"/>
      <c r="B34" s="193">
        <v>1999</v>
      </c>
      <c r="C34" s="463">
        <v>1855</v>
      </c>
      <c r="D34" s="193"/>
      <c r="E34" s="463">
        <v>20</v>
      </c>
      <c r="F34" s="46"/>
      <c r="G34" t="s">
        <v>171</v>
      </c>
      <c r="H34"/>
      <c r="I34" s="467"/>
      <c r="J34" s="469" t="s">
        <v>137</v>
      </c>
      <c r="K34" s="467">
        <f>SUM(C33:C34)</f>
        <v>2130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12.75">
      <c r="A35" s="193"/>
      <c r="B35" s="193">
        <v>2000</v>
      </c>
      <c r="C35" s="463">
        <v>2964</v>
      </c>
      <c r="D35" s="193"/>
      <c r="E35" s="463">
        <v>20</v>
      </c>
      <c r="F35" s="46"/>
      <c r="G35" t="s">
        <v>171</v>
      </c>
      <c r="H35"/>
      <c r="I35" s="467"/>
      <c r="J35" s="469" t="s">
        <v>137</v>
      </c>
      <c r="K35" s="467">
        <f>K34+C35</f>
        <v>5094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12.75">
      <c r="A36" s="193"/>
      <c r="B36" s="193">
        <v>2001</v>
      </c>
      <c r="C36" s="463">
        <v>4821</v>
      </c>
      <c r="D36" s="193"/>
      <c r="E36" s="463">
        <v>20</v>
      </c>
      <c r="F36" s="46"/>
      <c r="G36" t="s">
        <v>171</v>
      </c>
      <c r="H36"/>
      <c r="I36" s="467"/>
      <c r="J36" s="469" t="s">
        <v>137</v>
      </c>
      <c r="K36" s="467">
        <f>K35+C36</f>
        <v>9915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12.75">
      <c r="A37" s="193"/>
      <c r="B37" s="193">
        <v>2002</v>
      </c>
      <c r="C37" s="463">
        <v>4576</v>
      </c>
      <c r="D37" s="193"/>
      <c r="E37" s="463">
        <v>20</v>
      </c>
      <c r="F37" s="46"/>
      <c r="G37" t="s">
        <v>171</v>
      </c>
      <c r="H37"/>
      <c r="I37" s="467"/>
      <c r="J37" s="469" t="s">
        <v>137</v>
      </c>
      <c r="K37" s="467">
        <f>K36+C37</f>
        <v>14491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12.75">
      <c r="A38" s="193"/>
      <c r="B38" s="193">
        <v>2003</v>
      </c>
      <c r="C38" s="463">
        <v>5332</v>
      </c>
      <c r="D38" s="193"/>
      <c r="E38" s="463">
        <v>20</v>
      </c>
      <c r="F38" s="46"/>
      <c r="G38" t="s">
        <v>171</v>
      </c>
      <c r="H38"/>
      <c r="I38" s="467"/>
      <c r="J38" s="469" t="s">
        <v>137</v>
      </c>
      <c r="K38" s="467">
        <f>K37+C38</f>
        <v>19823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12.75">
      <c r="A39" s="721">
        <v>2004</v>
      </c>
      <c r="B39" s="721"/>
      <c r="C39" s="464">
        <v>5292</v>
      </c>
      <c r="D39" s="1"/>
      <c r="E39" s="464">
        <v>20</v>
      </c>
      <c r="F39"/>
      <c r="G39" t="s">
        <v>171</v>
      </c>
      <c r="H39"/>
      <c r="I39" s="468"/>
      <c r="J39" s="469">
        <v>114</v>
      </c>
      <c r="K39" s="467">
        <f aca="true" t="shared" si="1" ref="K39:K45">K38+C39+I39+J39</f>
        <v>25229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12.75">
      <c r="A40" s="721">
        <v>2005</v>
      </c>
      <c r="B40" s="721"/>
      <c r="C40" s="464">
        <v>8923</v>
      </c>
      <c r="D40" s="1"/>
      <c r="E40" s="464">
        <v>30</v>
      </c>
      <c r="F40"/>
      <c r="G40" t="s">
        <v>172</v>
      </c>
      <c r="H40"/>
      <c r="I40" s="468"/>
      <c r="J40" s="467">
        <v>920</v>
      </c>
      <c r="K40" s="467">
        <f t="shared" si="1"/>
        <v>35072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17" ht="12.75">
      <c r="A41" s="721">
        <v>2006</v>
      </c>
      <c r="B41" s="721"/>
      <c r="C41" s="465">
        <v>9480</v>
      </c>
      <c r="E41" s="473">
        <v>30</v>
      </c>
      <c r="F41" s="14"/>
      <c r="G41" s="11"/>
      <c r="H41" s="11"/>
      <c r="I41" s="468"/>
      <c r="J41" s="467">
        <v>1393</v>
      </c>
      <c r="K41" s="467">
        <f t="shared" si="1"/>
        <v>45945</v>
      </c>
      <c r="M41" s="167"/>
      <c r="N41" s="19"/>
      <c r="O41" s="10"/>
      <c r="P41" s="11"/>
      <c r="Q41" s="10"/>
    </row>
    <row r="42" spans="1:17" ht="12.75">
      <c r="A42" s="194"/>
      <c r="B42" s="194">
        <v>2007</v>
      </c>
      <c r="C42" s="465">
        <v>9720</v>
      </c>
      <c r="E42" s="473">
        <v>30</v>
      </c>
      <c r="F42" s="14"/>
      <c r="G42" s="11"/>
      <c r="H42" s="11"/>
      <c r="I42" s="465"/>
      <c r="J42" s="480">
        <v>2072</v>
      </c>
      <c r="K42" s="467">
        <f t="shared" si="1"/>
        <v>57737</v>
      </c>
      <c r="M42" s="19"/>
      <c r="N42" s="19"/>
      <c r="O42" s="10"/>
      <c r="P42" s="11"/>
      <c r="Q42" s="10"/>
    </row>
    <row r="43" spans="1:17" ht="12.75">
      <c r="A43" s="194"/>
      <c r="B43" s="194">
        <v>2008</v>
      </c>
      <c r="C43" s="465">
        <v>9630</v>
      </c>
      <c r="E43" s="473">
        <v>30</v>
      </c>
      <c r="F43" s="14"/>
      <c r="G43" s="11"/>
      <c r="H43" s="11"/>
      <c r="I43" s="465"/>
      <c r="J43" s="480">
        <v>2120</v>
      </c>
      <c r="K43" s="467">
        <f t="shared" si="1"/>
        <v>69487</v>
      </c>
      <c r="M43" s="19"/>
      <c r="N43" s="19"/>
      <c r="O43" s="10"/>
      <c r="P43" s="11"/>
      <c r="Q43" s="10"/>
    </row>
    <row r="44" spans="1:17" ht="12.75">
      <c r="A44" s="194"/>
      <c r="B44" s="193">
        <v>2009</v>
      </c>
      <c r="C44" s="465">
        <v>11362</v>
      </c>
      <c r="E44" s="473">
        <v>35</v>
      </c>
      <c r="F44" s="14"/>
      <c r="G44" s="11"/>
      <c r="H44" s="11"/>
      <c r="I44" s="475"/>
      <c r="J44" s="480">
        <v>2010</v>
      </c>
      <c r="K44" s="467">
        <f t="shared" si="1"/>
        <v>82859</v>
      </c>
      <c r="M44" s="19"/>
      <c r="N44" s="19"/>
      <c r="O44" s="10"/>
      <c r="P44" s="11"/>
      <c r="Q44" s="10"/>
    </row>
    <row r="45" spans="1:17" ht="12.75">
      <c r="A45" s="194"/>
      <c r="B45" s="193">
        <v>2010</v>
      </c>
      <c r="C45" s="465">
        <v>11303</v>
      </c>
      <c r="E45" s="473">
        <v>35</v>
      </c>
      <c r="F45" s="14"/>
      <c r="G45" s="11"/>
      <c r="H45" s="11"/>
      <c r="I45" s="475"/>
      <c r="J45" s="480">
        <v>1855</v>
      </c>
      <c r="K45" s="467">
        <f t="shared" si="1"/>
        <v>96017</v>
      </c>
      <c r="M45" s="19"/>
      <c r="N45" s="19"/>
      <c r="O45" s="10"/>
      <c r="P45" s="11"/>
      <c r="Q45" s="10"/>
    </row>
    <row r="46" spans="1:17" ht="12.75">
      <c r="A46" s="1"/>
      <c r="B46" s="193">
        <v>2011</v>
      </c>
      <c r="C46" s="465">
        <v>11410</v>
      </c>
      <c r="E46" s="474">
        <v>35</v>
      </c>
      <c r="F46" s="8"/>
      <c r="G46" s="11"/>
      <c r="H46" s="11"/>
      <c r="I46" s="467">
        <v>-53.32</v>
      </c>
      <c r="J46" s="480">
        <v>2018</v>
      </c>
      <c r="K46" s="468">
        <f aca="true" t="shared" si="2" ref="K46:K51">K45+C46+I46+J46</f>
        <v>109391.68</v>
      </c>
      <c r="L46" s="9" t="s">
        <v>386</v>
      </c>
      <c r="M46" s="19"/>
      <c r="N46" s="19"/>
      <c r="O46" s="10"/>
      <c r="P46" s="11"/>
      <c r="Q46" s="10"/>
    </row>
    <row r="47" spans="2:17" ht="12.75">
      <c r="B47" s="8">
        <v>2012</v>
      </c>
      <c r="C47" s="465">
        <v>11375</v>
      </c>
      <c r="E47" s="474">
        <v>35</v>
      </c>
      <c r="I47" s="468">
        <v>-5678.28</v>
      </c>
      <c r="J47" s="480">
        <v>1509.67</v>
      </c>
      <c r="K47" s="468">
        <f t="shared" si="2"/>
        <v>116598.06999999999</v>
      </c>
      <c r="L47" s="9" t="s">
        <v>387</v>
      </c>
      <c r="M47" s="19"/>
      <c r="N47" s="19"/>
      <c r="O47" s="10"/>
      <c r="P47" s="11"/>
      <c r="Q47" s="10"/>
    </row>
    <row r="48" spans="2:17" ht="12.75">
      <c r="B48" s="8">
        <v>2013</v>
      </c>
      <c r="C48" s="465">
        <v>11000.22</v>
      </c>
      <c r="E48" s="474">
        <v>34</v>
      </c>
      <c r="I48" s="468">
        <v>-7951.27</v>
      </c>
      <c r="J48" s="480">
        <v>1533.8</v>
      </c>
      <c r="K48" s="468">
        <f t="shared" si="2"/>
        <v>121180.81999999999</v>
      </c>
      <c r="L48" s="9" t="s">
        <v>459</v>
      </c>
      <c r="M48" s="19"/>
      <c r="N48" s="19"/>
      <c r="O48" s="10"/>
      <c r="P48" s="11"/>
      <c r="Q48" s="10"/>
    </row>
    <row r="49" spans="2:17" ht="12.75">
      <c r="B49" s="8">
        <v>2014</v>
      </c>
      <c r="C49" s="465">
        <v>9783.78</v>
      </c>
      <c r="E49" s="474">
        <v>30</v>
      </c>
      <c r="I49" s="465">
        <v>0</v>
      </c>
      <c r="J49" s="480">
        <v>1316.98</v>
      </c>
      <c r="K49" s="468">
        <f t="shared" si="2"/>
        <v>132281.58</v>
      </c>
      <c r="M49" s="19"/>
      <c r="N49" s="19"/>
      <c r="O49" s="10"/>
      <c r="P49" s="11"/>
      <c r="Q49" s="10"/>
    </row>
    <row r="50" spans="2:17" ht="12.75">
      <c r="B50" s="8">
        <v>2015</v>
      </c>
      <c r="C50" s="465">
        <v>9765.1</v>
      </c>
      <c r="E50" s="474">
        <v>30</v>
      </c>
      <c r="I50" s="465">
        <v>0</v>
      </c>
      <c r="J50" s="480">
        <v>1514.84</v>
      </c>
      <c r="K50" s="468">
        <f t="shared" si="2"/>
        <v>143561.52</v>
      </c>
      <c r="M50" s="19"/>
      <c r="N50" s="19"/>
      <c r="O50" s="10"/>
      <c r="P50" s="11"/>
      <c r="Q50" s="10"/>
    </row>
    <row r="51" spans="2:17" ht="12.75">
      <c r="B51" s="8">
        <v>2016</v>
      </c>
      <c r="C51" s="465">
        <v>7778.9</v>
      </c>
      <c r="E51" s="474">
        <v>24</v>
      </c>
      <c r="I51" s="465">
        <v>0</v>
      </c>
      <c r="J51" s="480">
        <v>1412.87</v>
      </c>
      <c r="K51" s="468">
        <f t="shared" si="2"/>
        <v>152753.28999999998</v>
      </c>
      <c r="M51" s="19"/>
      <c r="N51" s="19"/>
      <c r="O51" s="10"/>
      <c r="P51" s="11"/>
      <c r="Q51" s="10"/>
    </row>
    <row r="52" spans="2:17" ht="12.75">
      <c r="B52" s="658" t="s">
        <v>523</v>
      </c>
      <c r="C52" s="465">
        <f>E52*Summary!$C$46*12</f>
        <v>10368</v>
      </c>
      <c r="E52" s="474">
        <v>32</v>
      </c>
      <c r="I52" s="465">
        <v>0</v>
      </c>
      <c r="J52" s="480">
        <f>K51*$L$57</f>
        <v>1527.5329</v>
      </c>
      <c r="K52" s="468">
        <f>K51+C52+I52+J52</f>
        <v>164648.82289999997</v>
      </c>
      <c r="M52" s="19"/>
      <c r="N52" s="19"/>
      <c r="O52" s="10"/>
      <c r="P52" s="11"/>
      <c r="Q52" s="10"/>
    </row>
    <row r="53" spans="2:17" ht="12.75">
      <c r="B53" s="670" t="s">
        <v>524</v>
      </c>
      <c r="C53" s="671">
        <f>E53*Summary!$C$46*12</f>
        <v>10368</v>
      </c>
      <c r="D53" s="672"/>
      <c r="E53" s="673">
        <v>32</v>
      </c>
      <c r="F53" s="672"/>
      <c r="G53" s="672"/>
      <c r="H53" s="672"/>
      <c r="I53" s="671">
        <v>0</v>
      </c>
      <c r="J53" s="674">
        <f>K52*$L$57</f>
        <v>1646.4882289999998</v>
      </c>
      <c r="K53" s="675">
        <f>K52+C53+I53+J53</f>
        <v>176663.31112899998</v>
      </c>
      <c r="M53" s="19"/>
      <c r="N53" s="19"/>
      <c r="O53" s="10"/>
      <c r="P53" s="11"/>
      <c r="Q53" s="10"/>
    </row>
    <row r="54" spans="2:17" ht="12.75">
      <c r="B54" s="8"/>
      <c r="C54" s="465"/>
      <c r="E54" s="146"/>
      <c r="M54" s="19"/>
      <c r="N54" s="19"/>
      <c r="O54" s="10"/>
      <c r="P54" s="11"/>
      <c r="Q54" s="10"/>
    </row>
    <row r="55" spans="2:17" ht="12.75">
      <c r="B55" s="8"/>
      <c r="C55" s="465"/>
      <c r="E55" s="146"/>
      <c r="M55" s="19"/>
      <c r="N55" s="19"/>
      <c r="O55" s="10"/>
      <c r="P55" s="11"/>
      <c r="Q55" s="10"/>
    </row>
    <row r="56" spans="2:17" ht="12.75">
      <c r="B56" s="8"/>
      <c r="C56" s="465"/>
      <c r="E56" s="146"/>
      <c r="M56" s="19"/>
      <c r="N56" s="19"/>
      <c r="O56" s="10"/>
      <c r="P56" s="11"/>
      <c r="Q56" s="10"/>
    </row>
    <row r="57" spans="3:17" ht="12.75">
      <c r="C57" s="465"/>
      <c r="E57" s="146"/>
      <c r="K57" s="13" t="s">
        <v>423</v>
      </c>
      <c r="L57" s="462">
        <v>0.01</v>
      </c>
      <c r="M57" s="19"/>
      <c r="N57" s="19"/>
      <c r="O57" s="10"/>
      <c r="P57" s="11"/>
      <c r="Q57" s="10"/>
    </row>
    <row r="58" spans="5:17" ht="12.75">
      <c r="E58" s="146"/>
      <c r="M58" s="19"/>
      <c r="N58" s="19"/>
      <c r="O58" s="10"/>
      <c r="P58" s="11"/>
      <c r="Q58" s="10"/>
    </row>
    <row r="59" spans="1:17" ht="12.75">
      <c r="A59" s="234" t="s">
        <v>374</v>
      </c>
      <c r="J59" s="360"/>
      <c r="K59" s="360"/>
      <c r="M59" s="19"/>
      <c r="N59" s="19"/>
      <c r="O59" s="10"/>
      <c r="P59" s="11"/>
      <c r="Q59" s="10"/>
    </row>
    <row r="60" spans="1:17" ht="12.75">
      <c r="A60" s="5" t="s">
        <v>383</v>
      </c>
      <c r="M60" s="19"/>
      <c r="N60" s="19"/>
      <c r="O60" s="10"/>
      <c r="P60" s="11"/>
      <c r="Q60" s="10"/>
    </row>
    <row r="61" spans="1:17" ht="12.75">
      <c r="A61" s="5" t="s">
        <v>375</v>
      </c>
      <c r="M61" s="19"/>
      <c r="N61" s="19"/>
      <c r="O61" s="10"/>
      <c r="P61" s="11"/>
      <c r="Q61" s="10"/>
    </row>
    <row r="62" spans="1:17" ht="12.75">
      <c r="A62" s="5" t="s">
        <v>402</v>
      </c>
      <c r="M62" s="19"/>
      <c r="N62" s="19"/>
      <c r="O62" s="10"/>
      <c r="P62" s="11"/>
      <c r="Q62" s="10"/>
    </row>
    <row r="63" spans="1:17" ht="12.75">
      <c r="A63" s="151" t="s">
        <v>460</v>
      </c>
      <c r="M63" s="19"/>
      <c r="N63" s="19"/>
      <c r="O63" s="10"/>
      <c r="P63" s="11"/>
      <c r="Q63" s="10"/>
    </row>
    <row r="64" spans="1:17" ht="12.75">
      <c r="A64" s="151" t="s">
        <v>461</v>
      </c>
      <c r="M64" s="19"/>
      <c r="N64" s="19"/>
      <c r="O64" s="10"/>
      <c r="P64" s="11"/>
      <c r="Q64" s="10"/>
    </row>
    <row r="65" spans="1:17" ht="12.75">
      <c r="A65" s="151" t="s">
        <v>445</v>
      </c>
      <c r="M65" s="19"/>
      <c r="N65" s="19"/>
      <c r="O65" s="10"/>
      <c r="P65" s="11"/>
      <c r="Q65" s="10"/>
    </row>
    <row r="66" spans="1:17" ht="12.75">
      <c r="A66" s="559" t="s">
        <v>469</v>
      </c>
      <c r="M66" s="19"/>
      <c r="N66" s="19"/>
      <c r="O66" s="10"/>
      <c r="P66" s="11"/>
      <c r="Q66" s="10"/>
    </row>
    <row r="67" spans="1:17" ht="12.75">
      <c r="A67" s="168" t="s">
        <v>501</v>
      </c>
      <c r="M67" s="19"/>
      <c r="N67" s="19"/>
      <c r="O67" s="10"/>
      <c r="P67" s="11"/>
      <c r="Q67" s="10"/>
    </row>
    <row r="68" spans="1:17" ht="12.75">
      <c r="A68" s="168" t="s">
        <v>546</v>
      </c>
      <c r="M68" s="19"/>
      <c r="N68" s="19"/>
      <c r="O68" s="10"/>
      <c r="P68" s="11"/>
      <c r="Q68" s="10"/>
    </row>
    <row r="69" spans="13:17" ht="12.75">
      <c r="M69" s="19"/>
      <c r="N69" s="19"/>
      <c r="O69" s="10"/>
      <c r="P69" s="11"/>
      <c r="Q69" s="10"/>
    </row>
    <row r="70" spans="13:17" ht="12.75">
      <c r="M70" s="19"/>
      <c r="N70" s="19"/>
      <c r="O70" s="10"/>
      <c r="P70" s="11"/>
      <c r="Q70" s="10"/>
    </row>
    <row r="71" spans="13:17" ht="12.75">
      <c r="M71" s="19"/>
      <c r="N71" s="19"/>
      <c r="O71" s="10"/>
      <c r="P71" s="11"/>
      <c r="Q71" s="10"/>
    </row>
    <row r="72" spans="13:17" ht="12.75">
      <c r="M72" s="19"/>
      <c r="N72" s="19"/>
      <c r="O72" s="10"/>
      <c r="P72" s="11"/>
      <c r="Q72" s="10"/>
    </row>
    <row r="73" spans="7:17" ht="21.75" customHeight="1">
      <c r="G73" s="23"/>
      <c r="H73" s="364" t="s">
        <v>422</v>
      </c>
      <c r="I73" s="365"/>
      <c r="J73" s="365"/>
      <c r="K73" s="365"/>
      <c r="L73" s="23"/>
      <c r="M73" s="19"/>
      <c r="N73" s="19"/>
      <c r="O73" s="10"/>
      <c r="P73" s="11"/>
      <c r="Q73" s="10"/>
    </row>
    <row r="74" spans="7:17" ht="12.75">
      <c r="G74" s="23"/>
      <c r="H74" s="44" t="s">
        <v>230</v>
      </c>
      <c r="I74" s="44" t="s">
        <v>357</v>
      </c>
      <c r="J74" s="120" t="s">
        <v>356</v>
      </c>
      <c r="K74" s="44" t="s">
        <v>283</v>
      </c>
      <c r="L74" s="23"/>
      <c r="M74" s="19"/>
      <c r="N74" s="19"/>
      <c r="O74" s="10"/>
      <c r="P74" s="11"/>
      <c r="Q74" s="10"/>
    </row>
    <row r="75" spans="7:17" ht="12.75">
      <c r="G75" s="23"/>
      <c r="H75" s="369">
        <v>40969</v>
      </c>
      <c r="I75" s="361"/>
      <c r="J75" s="113" t="s">
        <v>421</v>
      </c>
      <c r="K75" s="370">
        <v>1283.28</v>
      </c>
      <c r="L75" s="23"/>
      <c r="M75" s="19"/>
      <c r="N75" s="19"/>
      <c r="O75" s="10"/>
      <c r="P75" s="11"/>
      <c r="Q75" s="10"/>
    </row>
    <row r="76" spans="7:17" ht="12.75">
      <c r="G76" s="23"/>
      <c r="H76" s="369">
        <v>41061</v>
      </c>
      <c r="I76" s="361" t="s">
        <v>372</v>
      </c>
      <c r="J76" s="113" t="s">
        <v>388</v>
      </c>
      <c r="K76" s="370">
        <v>4395</v>
      </c>
      <c r="L76" s="23"/>
      <c r="M76" s="19"/>
      <c r="N76" s="19"/>
      <c r="O76" s="10"/>
      <c r="P76" s="11"/>
      <c r="Q76" s="10"/>
    </row>
    <row r="77" spans="7:17" ht="12.75">
      <c r="G77" s="23"/>
      <c r="H77" s="562" t="s">
        <v>456</v>
      </c>
      <c r="I77" s="428" t="s">
        <v>457</v>
      </c>
      <c r="J77" s="429" t="s">
        <v>458</v>
      </c>
      <c r="K77" s="430">
        <v>7951.27</v>
      </c>
      <c r="L77" s="23"/>
      <c r="M77" s="19"/>
      <c r="N77" s="19"/>
      <c r="O77" s="10"/>
      <c r="P77" s="11"/>
      <c r="Q77" s="10"/>
    </row>
    <row r="78" spans="7:17" ht="12.75">
      <c r="G78" s="23"/>
      <c r="H78" s="427"/>
      <c r="I78" s="428"/>
      <c r="J78" s="429"/>
      <c r="K78" s="430"/>
      <c r="L78" s="23"/>
      <c r="M78" s="19"/>
      <c r="N78" s="19"/>
      <c r="O78" s="10"/>
      <c r="P78" s="11"/>
      <c r="Q78" s="10"/>
    </row>
    <row r="79" spans="7:17" ht="12.75">
      <c r="G79" s="23"/>
      <c r="H79" s="369"/>
      <c r="I79" s="361"/>
      <c r="J79" s="113"/>
      <c r="K79" s="370"/>
      <c r="L79" s="23"/>
      <c r="M79" s="19"/>
      <c r="N79" s="19"/>
      <c r="O79" s="10"/>
      <c r="P79" s="11"/>
      <c r="Q79" s="10"/>
    </row>
    <row r="80" spans="7:17" ht="12.75">
      <c r="G80" s="23"/>
      <c r="H80" s="369"/>
      <c r="I80" s="361"/>
      <c r="J80" s="113"/>
      <c r="K80" s="370"/>
      <c r="L80" s="23"/>
      <c r="M80" s="19"/>
      <c r="N80" s="19"/>
      <c r="O80" s="10"/>
      <c r="P80" s="11"/>
      <c r="Q80" s="10"/>
    </row>
    <row r="81" spans="7:17" ht="12.75">
      <c r="G81" s="23"/>
      <c r="H81" s="369"/>
      <c r="I81" s="361"/>
      <c r="J81" s="113"/>
      <c r="K81" s="370"/>
      <c r="L81" s="23"/>
      <c r="M81" s="19"/>
      <c r="N81" s="19"/>
      <c r="O81" s="10"/>
      <c r="P81" s="11"/>
      <c r="Q81" s="10"/>
    </row>
    <row r="82" spans="7:17" ht="12.75">
      <c r="G82" s="23"/>
      <c r="H82" s="369"/>
      <c r="I82" s="361"/>
      <c r="J82" s="113"/>
      <c r="K82" s="370"/>
      <c r="L82" s="23"/>
      <c r="M82" s="19"/>
      <c r="N82" s="19"/>
      <c r="O82" s="10"/>
      <c r="P82" s="11"/>
      <c r="Q82" s="10"/>
    </row>
    <row r="83" spans="7:17" ht="12.75">
      <c r="G83" s="23"/>
      <c r="H83" s="369"/>
      <c r="I83" s="361"/>
      <c r="J83" s="113"/>
      <c r="K83" s="370"/>
      <c r="L83" s="23"/>
      <c r="M83" s="19"/>
      <c r="N83" s="19"/>
      <c r="O83" s="10"/>
      <c r="P83" s="11"/>
      <c r="Q83" s="10"/>
    </row>
    <row r="84" spans="7:17" ht="12.75">
      <c r="G84" s="23"/>
      <c r="H84" s="369"/>
      <c r="I84" s="361"/>
      <c r="J84" s="113"/>
      <c r="K84" s="370"/>
      <c r="L84" s="23"/>
      <c r="M84" s="19"/>
      <c r="N84" s="19"/>
      <c r="O84" s="10"/>
      <c r="P84" s="11"/>
      <c r="Q84" s="10"/>
    </row>
    <row r="85" spans="7:17" ht="12.75">
      <c r="G85" s="23"/>
      <c r="H85" s="369"/>
      <c r="I85" s="361"/>
      <c r="J85" s="113"/>
      <c r="K85" s="370"/>
      <c r="L85" s="23"/>
      <c r="M85" s="19"/>
      <c r="N85" s="19"/>
      <c r="O85" s="10"/>
      <c r="P85" s="11"/>
      <c r="Q85" s="10"/>
    </row>
    <row r="86" spans="7:17" ht="12.75">
      <c r="G86" s="23"/>
      <c r="H86" s="369"/>
      <c r="I86" s="361"/>
      <c r="J86" s="113"/>
      <c r="K86" s="370"/>
      <c r="L86" s="23"/>
      <c r="M86" s="19"/>
      <c r="N86" s="19"/>
      <c r="O86" s="10"/>
      <c r="P86" s="11"/>
      <c r="Q86" s="10"/>
    </row>
    <row r="87" spans="7:15" ht="12.75">
      <c r="G87" s="23"/>
      <c r="H87" s="366"/>
      <c r="I87" s="367"/>
      <c r="J87" s="368" t="s">
        <v>335</v>
      </c>
      <c r="K87" s="371">
        <f>SUM(K75:K86)</f>
        <v>13629.55</v>
      </c>
      <c r="L87" s="23"/>
      <c r="M87" s="19"/>
      <c r="N87" s="19"/>
      <c r="O87" s="10"/>
    </row>
  </sheetData>
  <sheetProtection/>
  <mergeCells count="5">
    <mergeCell ref="A41:B41"/>
    <mergeCell ref="A32:B32"/>
    <mergeCell ref="A39:B39"/>
    <mergeCell ref="A40:B40"/>
    <mergeCell ref="A33:B33"/>
  </mergeCells>
  <printOptions gridLines="1" headings="1" horizontalCentered="1"/>
  <pageMargins left="0.2" right="0.2" top="0.23" bottom="0.18" header="0.18" footer="0.17"/>
  <pageSetup horizontalDpi="600" verticalDpi="600" orientation="landscape" scale="53" r:id="rId3"/>
  <headerFooter alignWithMargins="0">
    <oddFooter>&amp;R&amp;K000000&amp;F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42"/>
  <sheetViews>
    <sheetView zoomScale="90" zoomScaleNormal="90" zoomScalePageLayoutView="0" workbookViewId="0" topLeftCell="A1">
      <selection activeCell="D23" sqref="D23"/>
    </sheetView>
  </sheetViews>
  <sheetFormatPr defaultColWidth="8.8515625" defaultRowHeight="12.75"/>
  <cols>
    <col min="1" max="1" width="21.00390625" style="0" customWidth="1"/>
    <col min="2" max="2" width="9.8515625" style="0" customWidth="1"/>
    <col min="3" max="3" width="9.7109375" style="0" customWidth="1"/>
    <col min="4" max="4" width="10.28125" style="0" customWidth="1"/>
    <col min="5" max="5" width="10.140625" style="0" customWidth="1"/>
    <col min="6" max="6" width="11.421875" style="0" customWidth="1"/>
    <col min="7" max="7" width="27.8515625" style="0" customWidth="1"/>
  </cols>
  <sheetData>
    <row r="1" ht="23.25">
      <c r="A1" s="29" t="s">
        <v>88</v>
      </c>
    </row>
    <row r="3" ht="12.75">
      <c r="A3" t="s">
        <v>234</v>
      </c>
    </row>
    <row r="4" ht="12.75">
      <c r="A4" t="s">
        <v>209</v>
      </c>
    </row>
    <row r="5" ht="12.75">
      <c r="A5" t="s">
        <v>463</v>
      </c>
    </row>
    <row r="6" ht="12.75">
      <c r="A6" t="s">
        <v>256</v>
      </c>
    </row>
    <row r="9" spans="1:2" ht="12.75" hidden="1">
      <c r="A9" s="47" t="s">
        <v>210</v>
      </c>
      <c r="B9">
        <v>4000</v>
      </c>
    </row>
    <row r="11" spans="1:7" ht="12.75">
      <c r="A11" s="44" t="s">
        <v>170</v>
      </c>
      <c r="B11" s="44" t="s">
        <v>175</v>
      </c>
      <c r="C11" s="44" t="s">
        <v>168</v>
      </c>
      <c r="D11" s="44" t="s">
        <v>207</v>
      </c>
      <c r="E11" s="44" t="s">
        <v>224</v>
      </c>
      <c r="F11" s="44" t="s">
        <v>169</v>
      </c>
      <c r="G11" s="44" t="s">
        <v>347</v>
      </c>
    </row>
    <row r="12" spans="1:6" ht="12.75">
      <c r="A12" s="46">
        <v>2002</v>
      </c>
      <c r="B12" s="466">
        <v>2041</v>
      </c>
      <c r="C12" s="44"/>
      <c r="D12" s="467"/>
      <c r="E12" s="467"/>
      <c r="F12" s="467"/>
    </row>
    <row r="13" spans="1:6" ht="12.75">
      <c r="A13" s="46">
        <v>2003</v>
      </c>
      <c r="B13" s="466">
        <v>2015</v>
      </c>
      <c r="C13" s="44"/>
      <c r="D13" s="467"/>
      <c r="E13" s="469" t="s">
        <v>137</v>
      </c>
      <c r="F13" s="467">
        <f>SUM(B12:B13)</f>
        <v>4056</v>
      </c>
    </row>
    <row r="14" spans="1:7" ht="12.75">
      <c r="A14" s="47">
        <v>2004</v>
      </c>
      <c r="B14" s="467">
        <v>2235</v>
      </c>
      <c r="C14" s="467">
        <v>8</v>
      </c>
      <c r="D14" s="467"/>
      <c r="E14" s="467">
        <v>29</v>
      </c>
      <c r="F14" s="467">
        <f>F13+B14+D14+E14</f>
        <v>6320</v>
      </c>
      <c r="G14" s="139" t="s">
        <v>225</v>
      </c>
    </row>
    <row r="15" spans="1:6" ht="12.75">
      <c r="A15">
        <v>2005</v>
      </c>
      <c r="B15" s="467">
        <v>2832</v>
      </c>
      <c r="C15" s="467">
        <v>9</v>
      </c>
      <c r="D15" s="467">
        <v>0</v>
      </c>
      <c r="E15" s="467">
        <v>231</v>
      </c>
      <c r="F15" s="467">
        <f>F14+B15+D15+E15</f>
        <v>9383</v>
      </c>
    </row>
    <row r="16" spans="1:6" ht="12.75">
      <c r="A16" s="47">
        <v>2006</v>
      </c>
      <c r="B16" s="467">
        <v>2844</v>
      </c>
      <c r="C16" s="467">
        <v>9</v>
      </c>
      <c r="D16" s="467">
        <v>-8568</v>
      </c>
      <c r="E16" s="467">
        <v>373</v>
      </c>
      <c r="F16" s="467">
        <f>F15+B16+D16+E16</f>
        <v>4032</v>
      </c>
    </row>
    <row r="17" spans="1:7" ht="12.75">
      <c r="A17" s="47">
        <v>2007</v>
      </c>
      <c r="B17" s="468">
        <f>C17*27*12</f>
        <v>4212</v>
      </c>
      <c r="C17" s="467">
        <v>13</v>
      </c>
      <c r="D17" s="467">
        <v>-15000</v>
      </c>
      <c r="E17" s="467">
        <v>182</v>
      </c>
      <c r="F17" s="467">
        <f>F16+B17+D17+E17+5331</f>
        <v>-1243</v>
      </c>
      <c r="G17" s="5" t="s">
        <v>274</v>
      </c>
    </row>
    <row r="18" spans="1:11" ht="12.75">
      <c r="A18" s="47">
        <v>2008</v>
      </c>
      <c r="B18" s="467">
        <v>4173</v>
      </c>
      <c r="C18" s="467">
        <v>13</v>
      </c>
      <c r="D18" s="467">
        <v>-2700</v>
      </c>
      <c r="E18" s="467">
        <v>80</v>
      </c>
      <c r="F18" s="467">
        <f>F17+B18+D18+E18+3411</f>
        <v>3721</v>
      </c>
      <c r="G18" s="5" t="s">
        <v>273</v>
      </c>
      <c r="K18" s="5"/>
    </row>
    <row r="19" spans="1:11" ht="12.75">
      <c r="A19" s="46">
        <v>2009</v>
      </c>
      <c r="B19" s="467">
        <v>4226</v>
      </c>
      <c r="C19" s="467">
        <v>13</v>
      </c>
      <c r="D19" s="467">
        <v>0</v>
      </c>
      <c r="E19" s="467">
        <v>108</v>
      </c>
      <c r="F19" s="467">
        <v>8054</v>
      </c>
      <c r="K19" s="5"/>
    </row>
    <row r="20" spans="1:11" ht="12.75">
      <c r="A20" s="46">
        <v>2010</v>
      </c>
      <c r="B20" s="467">
        <v>4198</v>
      </c>
      <c r="C20" s="467">
        <v>13</v>
      </c>
      <c r="D20" s="468">
        <v>-95</v>
      </c>
      <c r="E20" s="467">
        <v>180</v>
      </c>
      <c r="F20" s="467">
        <f aca="true" t="shared" si="0" ref="F20:F25">F19+B20+D20+E20</f>
        <v>12337</v>
      </c>
      <c r="G20" t="s">
        <v>346</v>
      </c>
      <c r="K20" s="5"/>
    </row>
    <row r="21" spans="1:6" ht="12.75">
      <c r="A21" s="46">
        <v>2011</v>
      </c>
      <c r="B21" s="468">
        <v>4238</v>
      </c>
      <c r="C21" s="468">
        <v>13</v>
      </c>
      <c r="D21" s="468">
        <v>-250.33</v>
      </c>
      <c r="E21" s="468">
        <v>259.35</v>
      </c>
      <c r="F21" s="468">
        <f t="shared" si="0"/>
        <v>16584.02</v>
      </c>
    </row>
    <row r="22" spans="1:6" ht="12.75">
      <c r="A22" s="46">
        <v>2012</v>
      </c>
      <c r="B22" s="468">
        <v>3901</v>
      </c>
      <c r="C22" s="468">
        <v>12</v>
      </c>
      <c r="D22" s="468">
        <v>0</v>
      </c>
      <c r="E22" s="468">
        <v>228.88</v>
      </c>
      <c r="F22" s="468">
        <f t="shared" si="0"/>
        <v>20713.9</v>
      </c>
    </row>
    <row r="23" spans="1:7" ht="12.75">
      <c r="A23" s="461">
        <v>2013</v>
      </c>
      <c r="B23" s="468">
        <v>1617.68</v>
      </c>
      <c r="C23" s="468">
        <v>5</v>
      </c>
      <c r="D23" s="468">
        <f>-(800+134+456+1400)</f>
        <v>-2790</v>
      </c>
      <c r="E23" s="468">
        <v>272.49</v>
      </c>
      <c r="F23" s="468">
        <f t="shared" si="0"/>
        <v>19814.070000000003</v>
      </c>
      <c r="G23" t="s">
        <v>444</v>
      </c>
    </row>
    <row r="24" spans="1:9" ht="12.75">
      <c r="A24" s="47">
        <v>2014</v>
      </c>
      <c r="B24" s="468">
        <v>1622.32</v>
      </c>
      <c r="C24" s="479">
        <v>5</v>
      </c>
      <c r="D24" s="479">
        <f>-(227.88+232.1+25+273.2+300)</f>
        <v>-1058.18</v>
      </c>
      <c r="E24" s="468">
        <v>215.34</v>
      </c>
      <c r="F24" s="468">
        <f t="shared" si="0"/>
        <v>20593.550000000003</v>
      </c>
      <c r="G24" s="168" t="s">
        <v>462</v>
      </c>
      <c r="H24" s="168"/>
      <c r="I24" s="15"/>
    </row>
    <row r="25" spans="1:7" ht="12.75">
      <c r="A25" s="461">
        <v>2015</v>
      </c>
      <c r="B25" s="468">
        <v>1619.52</v>
      </c>
      <c r="C25" s="479">
        <v>5</v>
      </c>
      <c r="D25" s="479">
        <f>-(284.59+450)</f>
        <v>-734.5899999999999</v>
      </c>
      <c r="E25" s="468">
        <v>235.84</v>
      </c>
      <c r="F25" s="468">
        <f t="shared" si="0"/>
        <v>21714.320000000003</v>
      </c>
      <c r="G25" s="168" t="s">
        <v>494</v>
      </c>
    </row>
    <row r="26" spans="1:7" ht="12.75">
      <c r="A26" s="461">
        <v>2016</v>
      </c>
      <c r="B26" s="468">
        <v>1620.48</v>
      </c>
      <c r="C26" s="479">
        <v>5</v>
      </c>
      <c r="D26" s="479">
        <v>-946.02</v>
      </c>
      <c r="E26" s="468">
        <v>213.71</v>
      </c>
      <c r="F26" s="468">
        <f>F25+B26+D26+E26</f>
        <v>22602.49</v>
      </c>
      <c r="G26" s="168" t="s">
        <v>528</v>
      </c>
    </row>
    <row r="27" spans="1:7" ht="12.75">
      <c r="A27" s="461" t="s">
        <v>523</v>
      </c>
      <c r="B27" s="468">
        <f>C27*Summary!$C$46*12</f>
        <v>1944</v>
      </c>
      <c r="C27" s="479">
        <v>6</v>
      </c>
      <c r="D27" s="479">
        <v>-600</v>
      </c>
      <c r="E27" s="468">
        <f>F26*$H$32</f>
        <v>226.02490000000003</v>
      </c>
      <c r="F27" s="468">
        <f>F26+B27+D27+E27</f>
        <v>24172.514900000002</v>
      </c>
      <c r="G27" s="168"/>
    </row>
    <row r="28" spans="1:6" ht="12.75">
      <c r="A28" s="47" t="s">
        <v>524</v>
      </c>
      <c r="B28" s="565">
        <f>C28*Summary!$C$46*12</f>
        <v>1944</v>
      </c>
      <c r="C28" s="566">
        <v>6</v>
      </c>
      <c r="D28" s="566">
        <v>-2750</v>
      </c>
      <c r="E28" s="565">
        <f>F27*$H$32</f>
        <v>241.72514900000002</v>
      </c>
      <c r="F28" s="565">
        <f>F27+B28+D28+E28</f>
        <v>23608.240049000004</v>
      </c>
    </row>
    <row r="29" spans="1:6" ht="12.75">
      <c r="A29" s="47"/>
      <c r="B29" s="468"/>
      <c r="C29" s="479"/>
      <c r="D29" s="479"/>
      <c r="E29" s="468"/>
      <c r="F29" s="468"/>
    </row>
    <row r="30" spans="1:6" ht="12.75">
      <c r="A30" s="47"/>
      <c r="B30" s="468"/>
      <c r="C30" s="479"/>
      <c r="D30" s="479"/>
      <c r="E30" s="468"/>
      <c r="F30" s="468"/>
    </row>
    <row r="31" spans="1:6" ht="12.75">
      <c r="A31" s="47"/>
      <c r="B31" s="468"/>
      <c r="C31" s="479"/>
      <c r="D31" s="479"/>
      <c r="E31" s="468"/>
      <c r="F31" s="468"/>
    </row>
    <row r="32" spans="1:8" ht="12.75">
      <c r="A32" s="47"/>
      <c r="B32" s="469"/>
      <c r="C32" s="47"/>
      <c r="D32" s="47"/>
      <c r="E32" s="47"/>
      <c r="F32" s="117"/>
      <c r="G32" s="13" t="s">
        <v>423</v>
      </c>
      <c r="H32" s="462">
        <v>0.01</v>
      </c>
    </row>
    <row r="33" spans="1:6" ht="12.75">
      <c r="A33" s="47"/>
      <c r="B33" s="469"/>
      <c r="C33" s="47"/>
      <c r="D33" s="47"/>
      <c r="E33" s="47"/>
      <c r="F33" s="117"/>
    </row>
    <row r="34" ht="12.75">
      <c r="F34" s="137"/>
    </row>
    <row r="35" spans="1:6" ht="12.75">
      <c r="A35" s="234" t="s">
        <v>374</v>
      </c>
      <c r="F35" s="137"/>
    </row>
    <row r="36" ht="12.75">
      <c r="A36" t="s">
        <v>255</v>
      </c>
    </row>
    <row r="37" ht="12.75">
      <c r="A37" t="s">
        <v>211</v>
      </c>
    </row>
    <row r="38" ht="12.75">
      <c r="A38" s="5" t="s">
        <v>295</v>
      </c>
    </row>
    <row r="39" ht="12.75">
      <c r="A39" s="5" t="s">
        <v>402</v>
      </c>
    </row>
    <row r="42" spans="1:2" ht="12.75">
      <c r="A42" s="168"/>
      <c r="B42" s="360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69"/>
  <headerFooter alignWithMargins="0">
    <oddFooter>&amp;R&amp;K000000&amp;F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P81"/>
  <sheetViews>
    <sheetView zoomScale="90" zoomScaleNormal="90" zoomScalePageLayoutView="0" workbookViewId="0" topLeftCell="A1">
      <selection activeCell="C69" sqref="C69"/>
    </sheetView>
  </sheetViews>
  <sheetFormatPr defaultColWidth="8.8515625" defaultRowHeight="12.75"/>
  <cols>
    <col min="1" max="1" width="25.28125" style="0" customWidth="1"/>
    <col min="2" max="2" width="16.140625" style="0" customWidth="1"/>
    <col min="3" max="3" width="12.7109375" style="0" customWidth="1"/>
    <col min="4" max="4" width="11.8515625" style="0" customWidth="1"/>
    <col min="5" max="5" width="11.7109375" style="0" customWidth="1"/>
    <col min="6" max="6" width="15.57421875" style="0" customWidth="1"/>
    <col min="7" max="7" width="38.00390625" style="0" customWidth="1"/>
  </cols>
  <sheetData>
    <row r="1" ht="23.25">
      <c r="A1" s="29" t="s">
        <v>25</v>
      </c>
    </row>
    <row r="2" spans="1:4" ht="12.75" hidden="1">
      <c r="A2" s="6" t="s">
        <v>52</v>
      </c>
      <c r="B2" s="6" t="s">
        <v>53</v>
      </c>
      <c r="C2" s="6" t="s">
        <v>70</v>
      </c>
      <c r="D2" s="6"/>
    </row>
    <row r="3" spans="1:4" ht="12.75" hidden="1">
      <c r="A3" s="46" t="s">
        <v>54</v>
      </c>
      <c r="B3" s="30">
        <v>7500</v>
      </c>
      <c r="C3" s="31">
        <v>35</v>
      </c>
      <c r="D3" s="5"/>
    </row>
    <row r="4" spans="1:4" ht="12.75" hidden="1">
      <c r="A4" s="46" t="s">
        <v>55</v>
      </c>
      <c r="B4" s="30">
        <v>12000</v>
      </c>
      <c r="C4" s="31">
        <v>50</v>
      </c>
      <c r="D4" s="5"/>
    </row>
    <row r="5" spans="1:4" ht="12.75" hidden="1">
      <c r="A5" s="6" t="s">
        <v>56</v>
      </c>
      <c r="B5" s="5"/>
      <c r="C5" s="5"/>
      <c r="D5" s="5"/>
    </row>
    <row r="6" spans="1:16" ht="12.75" hidden="1">
      <c r="A6" s="46" t="s">
        <v>57</v>
      </c>
      <c r="B6" s="30">
        <v>3000</v>
      </c>
      <c r="C6" s="31">
        <v>12</v>
      </c>
      <c r="D6" s="5"/>
      <c r="H6" s="252"/>
      <c r="I6" s="168"/>
      <c r="J6" s="168"/>
      <c r="K6" s="168"/>
      <c r="L6" s="168"/>
      <c r="M6" s="168"/>
      <c r="N6" s="168"/>
      <c r="O6" s="168"/>
      <c r="P6" s="168"/>
    </row>
    <row r="7" spans="1:16" ht="12.75" hidden="1">
      <c r="A7" s="46" t="s">
        <v>58</v>
      </c>
      <c r="B7" s="30">
        <v>3500</v>
      </c>
      <c r="C7" s="31">
        <v>12</v>
      </c>
      <c r="D7" s="5"/>
      <c r="H7" s="168"/>
      <c r="I7" s="168"/>
      <c r="J7" s="168"/>
      <c r="K7" s="168"/>
      <c r="L7" s="168"/>
      <c r="M7" s="168"/>
      <c r="N7" s="168"/>
      <c r="O7" s="168"/>
      <c r="P7" s="168"/>
    </row>
    <row r="8" spans="1:16" ht="12.75" hidden="1">
      <c r="A8" s="46" t="s">
        <v>59</v>
      </c>
      <c r="B8" s="30">
        <v>1000</v>
      </c>
      <c r="C8" s="31">
        <v>12</v>
      </c>
      <c r="D8" s="5"/>
      <c r="H8" s="168"/>
      <c r="I8" s="168"/>
      <c r="J8" s="168"/>
      <c r="K8" s="168"/>
      <c r="L8" s="168"/>
      <c r="M8" s="168"/>
      <c r="N8" s="168"/>
      <c r="O8" s="168"/>
      <c r="P8" s="168"/>
    </row>
    <row r="9" spans="1:6" ht="26.25" customHeight="1" hidden="1">
      <c r="A9" s="46" t="s">
        <v>60</v>
      </c>
      <c r="B9" s="30">
        <v>10000</v>
      </c>
      <c r="C9" s="31">
        <v>10</v>
      </c>
      <c r="D9" s="724" t="s">
        <v>61</v>
      </c>
      <c r="E9" s="724"/>
      <c r="F9" s="724"/>
    </row>
    <row r="10" spans="1:4" ht="12.75" hidden="1">
      <c r="A10" s="6" t="s">
        <v>62</v>
      </c>
      <c r="B10" s="5"/>
      <c r="C10" s="5"/>
      <c r="D10" s="5"/>
    </row>
    <row r="11" spans="1:4" ht="12.75" hidden="1">
      <c r="A11" s="46" t="s">
        <v>74</v>
      </c>
      <c r="B11" s="30">
        <v>3000</v>
      </c>
      <c r="C11" s="31">
        <v>7</v>
      </c>
      <c r="D11" s="5" t="s">
        <v>63</v>
      </c>
    </row>
    <row r="12" spans="1:4" ht="12.75" hidden="1">
      <c r="A12" s="46" t="s">
        <v>75</v>
      </c>
      <c r="B12" s="30">
        <v>3000</v>
      </c>
      <c r="C12" s="31">
        <v>12</v>
      </c>
      <c r="D12" s="5" t="s">
        <v>63</v>
      </c>
    </row>
    <row r="13" spans="1:4" ht="12.75" hidden="1">
      <c r="A13" s="6" t="s">
        <v>64</v>
      </c>
      <c r="B13" s="5"/>
      <c r="C13" s="5"/>
      <c r="D13" s="5"/>
    </row>
    <row r="14" spans="1:4" ht="12.75" hidden="1">
      <c r="A14" s="46" t="s">
        <v>65</v>
      </c>
      <c r="B14" s="30">
        <v>9000</v>
      </c>
      <c r="C14" s="31">
        <v>20</v>
      </c>
      <c r="D14" s="5" t="s">
        <v>66</v>
      </c>
    </row>
    <row r="15" spans="1:4" ht="12.75" hidden="1">
      <c r="A15" s="46" t="s">
        <v>67</v>
      </c>
      <c r="B15" s="30">
        <f>2000</f>
        <v>2000</v>
      </c>
      <c r="C15" s="31">
        <v>15</v>
      </c>
      <c r="D15" s="5"/>
    </row>
    <row r="16" spans="1:4" ht="12.75" hidden="1">
      <c r="A16" s="46" t="s">
        <v>449</v>
      </c>
      <c r="B16" s="30">
        <v>5000</v>
      </c>
      <c r="C16" s="31">
        <v>20</v>
      </c>
      <c r="D16" s="5"/>
    </row>
    <row r="17" spans="1:4" ht="12.75" hidden="1">
      <c r="A17" s="46" t="s">
        <v>69</v>
      </c>
      <c r="B17" s="30">
        <v>2700</v>
      </c>
      <c r="C17" s="31">
        <v>20</v>
      </c>
      <c r="D17" s="5"/>
    </row>
    <row r="18" spans="1:4" ht="12.75" hidden="1">
      <c r="A18" s="6" t="s">
        <v>68</v>
      </c>
      <c r="B18" s="5"/>
      <c r="C18" s="5"/>
      <c r="D18" s="5"/>
    </row>
    <row r="19" spans="1:4" ht="12.75" hidden="1">
      <c r="A19" s="46" t="s">
        <v>72</v>
      </c>
      <c r="B19" s="30">
        <v>3000</v>
      </c>
      <c r="C19" s="31">
        <v>10</v>
      </c>
      <c r="D19" s="5"/>
    </row>
    <row r="20" spans="1:4" ht="12.75" hidden="1">
      <c r="A20" s="46" t="s">
        <v>73</v>
      </c>
      <c r="B20" s="30">
        <v>0</v>
      </c>
      <c r="C20" s="31">
        <v>25</v>
      </c>
      <c r="D20" s="5" t="s">
        <v>251</v>
      </c>
    </row>
    <row r="21" spans="1:4" ht="12.75" hidden="1">
      <c r="A21" s="46" t="s">
        <v>71</v>
      </c>
      <c r="B21" s="30">
        <v>2000</v>
      </c>
      <c r="C21" s="31">
        <v>12</v>
      </c>
      <c r="D21" s="5" t="s">
        <v>250</v>
      </c>
    </row>
    <row r="22" spans="1:4" ht="12.75" hidden="1">
      <c r="A22" s="5"/>
      <c r="B22" s="26"/>
      <c r="C22" s="5"/>
      <c r="D22" s="5"/>
    </row>
    <row r="23" ht="12.75" hidden="1"/>
    <row r="24" spans="2:6" s="33" customFormat="1" ht="25.5" customHeight="1" hidden="1">
      <c r="B24" s="32" t="s">
        <v>76</v>
      </c>
      <c r="C24" s="32" t="s">
        <v>78</v>
      </c>
      <c r="D24" s="32" t="s">
        <v>77</v>
      </c>
      <c r="F24" s="600" t="s">
        <v>79</v>
      </c>
    </row>
    <row r="25" spans="1:3" ht="12.75" hidden="1">
      <c r="A25" s="5" t="s">
        <v>74</v>
      </c>
      <c r="B25" s="26">
        <f>B11</f>
        <v>3000</v>
      </c>
      <c r="C25" s="5">
        <v>7</v>
      </c>
    </row>
    <row r="26" spans="1:11" ht="12.75" hidden="1">
      <c r="A26" s="6" t="s">
        <v>115</v>
      </c>
      <c r="B26" s="27">
        <f>SUM(B25)</f>
        <v>3000</v>
      </c>
      <c r="C26" s="5"/>
      <c r="D26" s="28">
        <f>B26*(1+inflation)^C25</f>
        <v>3541.774862152234</v>
      </c>
      <c r="F26" s="143">
        <f>IF(intrate&lt;0.0000001,(D26/C25)/(27*12),(D26*intrate/(((1+intrate)^C25)-1))/(27*12))</f>
        <v>1.4699606944971106</v>
      </c>
      <c r="K26" s="42"/>
    </row>
    <row r="27" spans="1:6" ht="12.75" hidden="1">
      <c r="A27" s="5" t="s">
        <v>60</v>
      </c>
      <c r="B27" s="26">
        <f>B9</f>
        <v>10000</v>
      </c>
      <c r="C27" s="5">
        <v>10</v>
      </c>
      <c r="F27" s="143"/>
    </row>
    <row r="28" spans="1:6" ht="12.75" hidden="1">
      <c r="A28" s="5" t="s">
        <v>72</v>
      </c>
      <c r="B28" s="26">
        <f>B19</f>
        <v>3000</v>
      </c>
      <c r="C28" s="5">
        <v>10</v>
      </c>
      <c r="F28" s="143"/>
    </row>
    <row r="29" spans="1:6" s="6" customFormat="1" ht="12.75" hidden="1">
      <c r="A29" s="6" t="s">
        <v>115</v>
      </c>
      <c r="B29" s="27">
        <f>SUM(B27:B28)</f>
        <v>13000</v>
      </c>
      <c r="D29" s="28">
        <f>B29*(1+inflation)^C28</f>
        <v>16479.45780296698</v>
      </c>
      <c r="F29" s="143">
        <f>IF(intrate&lt;0.0000001,(D29/C28)/(27*12),(D29*intrate/(((1+intrate)^C28)-1))/(27*12))</f>
        <v>4.642974470210092</v>
      </c>
    </row>
    <row r="30" spans="1:6" ht="12.75" hidden="1">
      <c r="A30" s="5" t="s">
        <v>57</v>
      </c>
      <c r="B30" s="26">
        <f>B6</f>
        <v>3000</v>
      </c>
      <c r="C30" s="5">
        <v>12</v>
      </c>
      <c r="F30" s="143"/>
    </row>
    <row r="31" spans="1:6" ht="12.75" hidden="1">
      <c r="A31" s="5" t="s">
        <v>58</v>
      </c>
      <c r="B31" s="26">
        <f>B7</f>
        <v>3500</v>
      </c>
      <c r="C31" s="5">
        <v>12</v>
      </c>
      <c r="F31" s="143"/>
    </row>
    <row r="32" spans="1:6" ht="12.75" hidden="1">
      <c r="A32" s="5" t="s">
        <v>59</v>
      </c>
      <c r="B32" s="26">
        <f>B8</f>
        <v>1000</v>
      </c>
      <c r="C32" s="5">
        <v>12</v>
      </c>
      <c r="F32" s="143"/>
    </row>
    <row r="33" spans="1:6" ht="12.75" hidden="1">
      <c r="A33" s="5" t="s">
        <v>75</v>
      </c>
      <c r="B33" s="26">
        <f>B12</f>
        <v>3000</v>
      </c>
      <c r="C33" s="5">
        <v>12</v>
      </c>
      <c r="F33" s="143"/>
    </row>
    <row r="34" spans="1:6" ht="12.75" hidden="1">
      <c r="A34" s="5" t="s">
        <v>71</v>
      </c>
      <c r="B34" s="26">
        <f>B21</f>
        <v>2000</v>
      </c>
      <c r="C34" s="5">
        <v>12</v>
      </c>
      <c r="F34" s="143"/>
    </row>
    <row r="35" spans="1:6" s="6" customFormat="1" ht="12.75" hidden="1">
      <c r="A35" s="6" t="s">
        <v>115</v>
      </c>
      <c r="B35" s="27">
        <f>SUM(B30:B34)</f>
        <v>12500</v>
      </c>
      <c r="D35" s="28">
        <f>B35*(1+inflation)^C34</f>
        <v>16615.349947311446</v>
      </c>
      <c r="F35" s="143">
        <f>IF(intrate&lt;0.0000001,(D35/C34)/(27*12),(D35*intrate/(((1+intrate)^C34)-1))/(27*12))</f>
        <v>3.8214114711433935</v>
      </c>
    </row>
    <row r="36" spans="1:6" ht="12.75" hidden="1">
      <c r="A36" s="5" t="s">
        <v>116</v>
      </c>
      <c r="B36" s="26">
        <f>B15</f>
        <v>2000</v>
      </c>
      <c r="C36" s="5">
        <v>15</v>
      </c>
      <c r="F36" s="143"/>
    </row>
    <row r="37" spans="1:6" ht="12.75" hidden="1">
      <c r="A37" s="6" t="s">
        <v>115</v>
      </c>
      <c r="B37" s="27">
        <f>SUM(B36)</f>
        <v>2000</v>
      </c>
      <c r="C37" s="6"/>
      <c r="D37" s="28">
        <f>B37*(1+inflation)^C36</f>
        <v>2854.49538541192</v>
      </c>
      <c r="E37" s="6"/>
      <c r="F37" s="143">
        <f>IF(intrate&lt;0.0000001,(D37/C36)/(27*12),(D37*intrate/(((1+intrate)^C36)-1))/(27*12))</f>
        <v>0.5090843413364482</v>
      </c>
    </row>
    <row r="38" spans="1:6" ht="12.75" hidden="1">
      <c r="A38" s="5" t="s">
        <v>65</v>
      </c>
      <c r="B38" s="26">
        <f>B14</f>
        <v>9000</v>
      </c>
      <c r="C38" s="5">
        <v>20</v>
      </c>
      <c r="F38" s="143"/>
    </row>
    <row r="39" spans="1:6" ht="12.75" hidden="1">
      <c r="A39" s="557" t="s">
        <v>450</v>
      </c>
      <c r="B39" s="26">
        <v>5000</v>
      </c>
      <c r="C39" s="5"/>
      <c r="F39" s="143"/>
    </row>
    <row r="40" spans="1:6" ht="12.75" hidden="1">
      <c r="A40" s="5" t="s">
        <v>69</v>
      </c>
      <c r="B40" s="26">
        <f>B17</f>
        <v>2700</v>
      </c>
      <c r="C40" s="5">
        <v>20</v>
      </c>
      <c r="F40" s="143"/>
    </row>
    <row r="41" spans="1:6" s="6" customFormat="1" ht="12.75" hidden="1">
      <c r="A41" s="6" t="s">
        <v>115</v>
      </c>
      <c r="B41" s="27">
        <f>SUM(B38:B40)</f>
        <v>16700</v>
      </c>
      <c r="D41" s="28">
        <f>B41*(1+inflation)^C40</f>
        <v>26835.865339125132</v>
      </c>
      <c r="F41" s="143">
        <f>IF(intrate&lt;0.0000001,(D41/C40)/(27*12),(D41*intrate/(((1+intrate)^C40)-1))/(27*12))</f>
        <v>3.405483895777282</v>
      </c>
    </row>
    <row r="42" spans="1:6" ht="12.75" hidden="1">
      <c r="A42" s="5" t="s">
        <v>73</v>
      </c>
      <c r="B42" s="26">
        <f>B20</f>
        <v>0</v>
      </c>
      <c r="C42" s="5">
        <v>25</v>
      </c>
      <c r="F42" s="143"/>
    </row>
    <row r="43" spans="1:6" ht="12.75" hidden="1">
      <c r="A43" s="6" t="s">
        <v>115</v>
      </c>
      <c r="B43" s="27">
        <f>SUM(B42)</f>
        <v>0</v>
      </c>
      <c r="C43" s="6"/>
      <c r="D43" s="28">
        <f>B43*(1+inflation)^C42</f>
        <v>0</v>
      </c>
      <c r="E43" s="6"/>
      <c r="F43" s="143">
        <f>IF(intrate&lt;0.0000001,(D43/C42)/(27*12),(D43*intrate/(((1+intrate)^C42)-1))/(27*12))</f>
        <v>0</v>
      </c>
    </row>
    <row r="44" spans="1:6" ht="12.75" hidden="1">
      <c r="A44" s="5" t="s">
        <v>54</v>
      </c>
      <c r="B44" s="26">
        <f>B3</f>
        <v>7500</v>
      </c>
      <c r="C44" s="5">
        <v>35</v>
      </c>
      <c r="F44" s="143"/>
    </row>
    <row r="45" spans="1:6" ht="12.75" hidden="1">
      <c r="A45" s="6" t="s">
        <v>115</v>
      </c>
      <c r="B45" s="27">
        <f>SUM(B44)</f>
        <v>7500</v>
      </c>
      <c r="C45" s="6"/>
      <c r="D45" s="28">
        <f>B45*(1+inflation)^C44</f>
        <v>17201.23961992553</v>
      </c>
      <c r="E45" s="6"/>
      <c r="F45" s="143">
        <f>IF(intrate&lt;0.0000001,(D45/C44)/(27*12),(D45*intrate/(((1+intrate)^C44)-1))/(27*12))</f>
        <v>1.059945139924064</v>
      </c>
    </row>
    <row r="46" spans="1:6" ht="12.75" hidden="1">
      <c r="A46" s="5" t="s">
        <v>55</v>
      </c>
      <c r="B46" s="26">
        <f>B4</f>
        <v>12000</v>
      </c>
      <c r="C46" s="5">
        <v>50</v>
      </c>
      <c r="F46" s="143"/>
    </row>
    <row r="47" spans="1:6" s="6" customFormat="1" ht="12.75" hidden="1">
      <c r="A47" s="6" t="s">
        <v>115</v>
      </c>
      <c r="B47" s="27">
        <f>SUM(B46)</f>
        <v>12000</v>
      </c>
      <c r="D47" s="28">
        <f>B47*(1+inflation)^C46</f>
        <v>39280.68729475368</v>
      </c>
      <c r="F47" s="143">
        <f>IF(intrate&lt;0.0000001,(D47/C46)/(27*12),(D47*intrate/(((1+intrate)^C46)-1))/(27*12))</f>
        <v>1.4293979849821898</v>
      </c>
    </row>
    <row r="48" ht="12.75" hidden="1"/>
    <row r="49" spans="1:6" ht="12.75" hidden="1">
      <c r="A49" s="6" t="s">
        <v>11</v>
      </c>
      <c r="D49" s="27">
        <f>SUM(D26:D47)</f>
        <v>122808.87025164693</v>
      </c>
      <c r="E49" s="27"/>
      <c r="F49" s="50">
        <f>SUM(F26:F47)</f>
        <v>16.33825799787058</v>
      </c>
    </row>
    <row r="50" ht="12.75" hidden="1"/>
    <row r="51" ht="12.75" hidden="1">
      <c r="F51" s="122">
        <f>F49*12*27</f>
        <v>5293.595591310068</v>
      </c>
    </row>
    <row r="52" spans="2:6" ht="12.75">
      <c r="B52" s="8"/>
      <c r="C52" s="9"/>
      <c r="D52" s="9"/>
      <c r="E52" s="13"/>
      <c r="F52" s="10"/>
    </row>
    <row r="54" spans="1:7" ht="12.75">
      <c r="A54" s="44" t="s">
        <v>170</v>
      </c>
      <c r="B54" s="44" t="s">
        <v>175</v>
      </c>
      <c r="C54" s="44" t="s">
        <v>168</v>
      </c>
      <c r="D54" s="44" t="s">
        <v>207</v>
      </c>
      <c r="E54" s="44" t="s">
        <v>224</v>
      </c>
      <c r="F54" s="44" t="s">
        <v>169</v>
      </c>
      <c r="G54" s="44" t="s">
        <v>347</v>
      </c>
    </row>
    <row r="55" spans="1:4" ht="12.75">
      <c r="A55" s="47">
        <v>2004</v>
      </c>
      <c r="B55" s="467">
        <v>-80</v>
      </c>
      <c r="C55" s="467">
        <v>16</v>
      </c>
      <c r="D55" t="s">
        <v>174</v>
      </c>
    </row>
    <row r="56" spans="1:6" ht="12.75">
      <c r="A56">
        <v>2005</v>
      </c>
      <c r="B56" s="467">
        <v>5044</v>
      </c>
      <c r="C56" s="467">
        <v>16</v>
      </c>
      <c r="D56" s="467">
        <v>0</v>
      </c>
      <c r="E56" s="469">
        <v>0</v>
      </c>
      <c r="F56" s="467">
        <f>SUM(B55:B56)</f>
        <v>4964</v>
      </c>
    </row>
    <row r="57" spans="1:6" ht="12.75">
      <c r="A57" s="47">
        <v>2006</v>
      </c>
      <c r="B57" s="467">
        <v>5056</v>
      </c>
      <c r="C57" s="467">
        <v>16</v>
      </c>
      <c r="D57" s="467">
        <v>0</v>
      </c>
      <c r="E57" s="467">
        <v>197</v>
      </c>
      <c r="F57" s="467">
        <f>F56+B57+D57+E57</f>
        <v>10217</v>
      </c>
    </row>
    <row r="58" spans="1:6" ht="12.75">
      <c r="A58" s="47">
        <v>2007</v>
      </c>
      <c r="B58" s="467">
        <v>5184</v>
      </c>
      <c r="C58" s="467">
        <v>16</v>
      </c>
      <c r="D58" s="467">
        <v>0</v>
      </c>
      <c r="E58" s="467">
        <v>461</v>
      </c>
      <c r="F58" s="467">
        <f>F57+B58+D58+E58</f>
        <v>15862</v>
      </c>
    </row>
    <row r="59" spans="1:6" ht="12.75">
      <c r="A59" s="47">
        <v>2008</v>
      </c>
      <c r="B59" s="467">
        <v>5136</v>
      </c>
      <c r="C59" s="467">
        <v>16</v>
      </c>
      <c r="D59" s="467">
        <v>0</v>
      </c>
      <c r="E59" s="467">
        <v>582</v>
      </c>
      <c r="F59" s="467">
        <v>21581</v>
      </c>
    </row>
    <row r="60" spans="1:6" ht="12.75">
      <c r="A60" s="46">
        <v>2009</v>
      </c>
      <c r="B60" s="467">
        <v>4879</v>
      </c>
      <c r="C60" s="467">
        <v>15</v>
      </c>
      <c r="D60" s="467">
        <v>0</v>
      </c>
      <c r="E60" s="467">
        <v>624</v>
      </c>
      <c r="F60" s="467">
        <v>27083</v>
      </c>
    </row>
    <row r="61" spans="1:7" ht="12.75">
      <c r="A61" s="46">
        <v>2010</v>
      </c>
      <c r="B61" s="467">
        <v>4214</v>
      </c>
      <c r="C61" s="467">
        <v>15</v>
      </c>
      <c r="D61" s="467">
        <v>-629.98</v>
      </c>
      <c r="E61" s="467">
        <v>606</v>
      </c>
      <c r="F61" s="467">
        <f aca="true" t="shared" si="0" ref="F61:F66">F60+B61+D61+E61</f>
        <v>31273.02</v>
      </c>
      <c r="G61" t="s">
        <v>476</v>
      </c>
    </row>
    <row r="62" spans="1:6" ht="12.75">
      <c r="A62" s="46">
        <v>2011</v>
      </c>
      <c r="B62" s="468">
        <v>4890</v>
      </c>
      <c r="C62" s="468">
        <v>15</v>
      </c>
      <c r="D62" s="468">
        <v>0</v>
      </c>
      <c r="E62" s="468">
        <v>657.39</v>
      </c>
      <c r="F62" s="468">
        <f t="shared" si="0"/>
        <v>36820.41</v>
      </c>
    </row>
    <row r="63" spans="1:6" ht="12.75">
      <c r="A63" s="46">
        <v>2012</v>
      </c>
      <c r="B63" s="468">
        <v>4875</v>
      </c>
      <c r="C63" s="468">
        <v>15</v>
      </c>
      <c r="D63" s="468">
        <v>0</v>
      </c>
      <c r="E63" s="468">
        <v>508.16</v>
      </c>
      <c r="F63" s="468">
        <f t="shared" si="0"/>
        <v>42203.57000000001</v>
      </c>
    </row>
    <row r="64" spans="1:7" ht="12.75">
      <c r="A64" s="461">
        <v>2013</v>
      </c>
      <c r="B64" s="468">
        <v>4529.5</v>
      </c>
      <c r="C64" s="468">
        <v>14</v>
      </c>
      <c r="D64" s="468">
        <v>-580.38</v>
      </c>
      <c r="E64" s="468">
        <v>555.18</v>
      </c>
      <c r="F64" s="468">
        <f t="shared" si="0"/>
        <v>46707.87000000001</v>
      </c>
      <c r="G64" t="s">
        <v>477</v>
      </c>
    </row>
    <row r="65" spans="1:7" ht="12.75">
      <c r="A65" s="461">
        <v>2014</v>
      </c>
      <c r="B65" s="468">
        <v>4542.5</v>
      </c>
      <c r="C65" s="468">
        <v>14</v>
      </c>
      <c r="D65" s="468">
        <v>-2698</v>
      </c>
      <c r="E65" s="468">
        <v>507.63</v>
      </c>
      <c r="F65" s="468">
        <f t="shared" si="0"/>
        <v>49060.00000000001</v>
      </c>
      <c r="G65" t="s">
        <v>478</v>
      </c>
    </row>
    <row r="66" spans="1:7" ht="12.75">
      <c r="A66" s="461">
        <v>2015</v>
      </c>
      <c r="B66" s="468">
        <v>4534.65</v>
      </c>
      <c r="C66" s="468">
        <v>14</v>
      </c>
      <c r="D66" s="468">
        <f>-(6800+421)</f>
        <v>-7221</v>
      </c>
      <c r="E66" s="468">
        <v>561.83</v>
      </c>
      <c r="F66" s="468">
        <f t="shared" si="0"/>
        <v>46935.48000000001</v>
      </c>
      <c r="G66" t="s">
        <v>502</v>
      </c>
    </row>
    <row r="67" spans="1:7" ht="12.75">
      <c r="A67" s="461">
        <v>2016</v>
      </c>
      <c r="B67" s="468">
        <v>3241.35</v>
      </c>
      <c r="C67" s="468">
        <v>10</v>
      </c>
      <c r="D67" s="468">
        <f>-(262.7+186.4)</f>
        <v>-449.1</v>
      </c>
      <c r="E67" s="468">
        <v>461.93</v>
      </c>
      <c r="F67" s="468">
        <f>F66+B67+D67+E67</f>
        <v>50189.66000000001</v>
      </c>
      <c r="G67" s="168" t="s">
        <v>503</v>
      </c>
    </row>
    <row r="68" spans="1:6" ht="12.75">
      <c r="A68" s="461" t="s">
        <v>523</v>
      </c>
      <c r="B68" s="468">
        <f>C68*Summary!$C$46*12</f>
        <v>2592</v>
      </c>
      <c r="C68" s="468">
        <v>8</v>
      </c>
      <c r="D68" s="468">
        <v>0</v>
      </c>
      <c r="E68" s="468">
        <f>F67*$H$72</f>
        <v>501.8966000000001</v>
      </c>
      <c r="F68" s="468">
        <f>F67+B68+D68+E68</f>
        <v>53283.55660000001</v>
      </c>
    </row>
    <row r="69" spans="1:6" ht="12.75">
      <c r="A69" s="659" t="s">
        <v>524</v>
      </c>
      <c r="B69" s="565">
        <f>C69*Summary!$C$46*12</f>
        <v>2592</v>
      </c>
      <c r="C69" s="565">
        <v>8</v>
      </c>
      <c r="D69" s="565">
        <v>0</v>
      </c>
      <c r="E69" s="565">
        <f>F68*$H$72</f>
        <v>532.8355660000001</v>
      </c>
      <c r="F69" s="565">
        <f>F68+B69+D69+E69</f>
        <v>56408.39216600001</v>
      </c>
    </row>
    <row r="70" spans="1:6" ht="12.75">
      <c r="A70" s="46"/>
      <c r="C70" s="168"/>
      <c r="E70" s="63"/>
      <c r="F70" s="63"/>
    </row>
    <row r="71" spans="1:6" ht="12.75">
      <c r="A71" s="46"/>
      <c r="C71" s="168"/>
      <c r="E71" s="63"/>
      <c r="F71" s="63"/>
    </row>
    <row r="72" spans="1:8" ht="12.75">
      <c r="A72" s="46"/>
      <c r="C72" s="168"/>
      <c r="E72" s="63"/>
      <c r="F72" s="168"/>
      <c r="G72" s="13" t="s">
        <v>423</v>
      </c>
      <c r="H72" s="462">
        <v>0.01</v>
      </c>
    </row>
    <row r="73" spans="1:12" ht="12.75">
      <c r="A73" s="234" t="s">
        <v>374</v>
      </c>
      <c r="G73" s="360"/>
      <c r="H73" s="168"/>
      <c r="I73" s="168"/>
      <c r="J73" s="168"/>
      <c r="K73" s="168"/>
      <c r="L73" s="168"/>
    </row>
    <row r="74" ht="12.75">
      <c r="A74" t="s">
        <v>249</v>
      </c>
    </row>
    <row r="75" ht="12.75">
      <c r="A75" s="5" t="s">
        <v>402</v>
      </c>
    </row>
    <row r="76" ht="12.75">
      <c r="A76" t="s">
        <v>446</v>
      </c>
    </row>
    <row r="78" ht="12.75">
      <c r="A78" t="s">
        <v>448</v>
      </c>
    </row>
    <row r="79" ht="12.75">
      <c r="A79" t="s">
        <v>451</v>
      </c>
    </row>
    <row r="80" ht="12.75">
      <c r="A80" s="650" t="s">
        <v>515</v>
      </c>
    </row>
    <row r="81" ht="12.75">
      <c r="A81" s="650" t="s">
        <v>516</v>
      </c>
    </row>
  </sheetData>
  <sheetProtection/>
  <mergeCells count="1">
    <mergeCell ref="D9:F9"/>
  </mergeCells>
  <printOptions gridLines="1" headings="1" horizontalCentered="1"/>
  <pageMargins left="0.25" right="0.31" top="0.21" bottom="0.18" header="0.17" footer="0.16"/>
  <pageSetup horizontalDpi="600" verticalDpi="600" orientation="portrait" scale="65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O147"/>
  <sheetViews>
    <sheetView zoomScale="90" zoomScaleNormal="90" zoomScaleSheetLayoutView="90" zoomScalePageLayoutView="0" workbookViewId="0" topLeftCell="A36">
      <selection activeCell="K120" sqref="K120"/>
    </sheetView>
  </sheetViews>
  <sheetFormatPr defaultColWidth="8.8515625" defaultRowHeight="12.75"/>
  <cols>
    <col min="1" max="1" width="6.140625" style="0" customWidth="1"/>
    <col min="2" max="2" width="14.7109375" style="0" customWidth="1"/>
    <col min="3" max="3" width="11.421875" style="0" customWidth="1"/>
    <col min="4" max="4" width="6.421875" style="0" customWidth="1"/>
    <col min="5" max="5" width="8.8515625" style="0" customWidth="1"/>
    <col min="6" max="6" width="12.28125" style="0" customWidth="1"/>
    <col min="7" max="7" width="14.421875" style="0" customWidth="1"/>
    <col min="8" max="8" width="11.421875" style="0" customWidth="1"/>
    <col min="9" max="9" width="11.8515625" style="0" customWidth="1"/>
    <col min="10" max="10" width="10.28125" style="0" customWidth="1"/>
    <col min="11" max="11" width="12.421875" style="0" customWidth="1"/>
    <col min="12" max="12" width="26.28125" style="0" customWidth="1"/>
    <col min="13" max="13" width="35.8515625" style="0" customWidth="1"/>
    <col min="14" max="14" width="13.421875" style="0" customWidth="1"/>
  </cols>
  <sheetData>
    <row r="1" ht="32.25" customHeight="1">
      <c r="A1" s="29" t="s">
        <v>80</v>
      </c>
    </row>
    <row r="2" ht="12.75" hidden="1">
      <c r="C2" s="6" t="s">
        <v>83</v>
      </c>
    </row>
    <row r="3" spans="2:4" ht="12.75" hidden="1">
      <c r="B3" s="6" t="s">
        <v>119</v>
      </c>
      <c r="C3" s="17">
        <f>269*27</f>
        <v>7263</v>
      </c>
      <c r="D3" t="s">
        <v>120</v>
      </c>
    </row>
    <row r="4" spans="2:7" ht="14.25" customHeight="1" hidden="1">
      <c r="B4" s="16" t="s">
        <v>90</v>
      </c>
      <c r="C4" s="17">
        <f>1600*8</f>
        <v>12800</v>
      </c>
      <c r="D4" s="9" t="s">
        <v>118</v>
      </c>
      <c r="E4" s="9"/>
      <c r="F4" s="9"/>
      <c r="G4" s="9"/>
    </row>
    <row r="5" spans="2:7" ht="12.75" hidden="1">
      <c r="B5" s="16" t="s">
        <v>114</v>
      </c>
      <c r="C5" s="17">
        <f>26*875</f>
        <v>22750</v>
      </c>
      <c r="D5" s="9" t="s">
        <v>121</v>
      </c>
      <c r="E5" s="9"/>
      <c r="F5" s="9"/>
      <c r="G5" s="9"/>
    </row>
    <row r="6" spans="2:7" ht="12.75" hidden="1">
      <c r="B6" s="16" t="s">
        <v>91</v>
      </c>
      <c r="C6" s="17">
        <v>4300</v>
      </c>
      <c r="D6" s="9" t="s">
        <v>122</v>
      </c>
      <c r="E6" s="9"/>
      <c r="F6" s="9"/>
      <c r="G6" s="9"/>
    </row>
    <row r="7" spans="2:7" ht="12.75" hidden="1">
      <c r="B7" s="16" t="s">
        <v>82</v>
      </c>
      <c r="C7" s="17">
        <v>1350</v>
      </c>
      <c r="D7" s="9" t="s">
        <v>93</v>
      </c>
      <c r="E7" s="9"/>
      <c r="F7" s="9"/>
      <c r="G7" s="9"/>
    </row>
    <row r="8" spans="2:7" ht="12.75" hidden="1">
      <c r="B8" s="16" t="s">
        <v>92</v>
      </c>
      <c r="C8" s="17">
        <v>205</v>
      </c>
      <c r="D8" s="9" t="s">
        <v>122</v>
      </c>
      <c r="E8" s="9"/>
      <c r="F8" s="9"/>
      <c r="G8" s="9"/>
    </row>
    <row r="9" spans="2:7" ht="12.75" hidden="1">
      <c r="B9" s="16" t="s">
        <v>260</v>
      </c>
      <c r="C9" s="17">
        <v>6400</v>
      </c>
      <c r="D9" s="144" t="s">
        <v>264</v>
      </c>
      <c r="E9" s="9"/>
      <c r="F9" s="9"/>
      <c r="G9" s="9"/>
    </row>
    <row r="10" spans="2:7" ht="12.75" hidden="1">
      <c r="B10" s="16" t="s">
        <v>263</v>
      </c>
      <c r="C10" s="17">
        <v>2100</v>
      </c>
      <c r="D10" s="144" t="s">
        <v>264</v>
      </c>
      <c r="E10" s="9"/>
      <c r="F10" s="9"/>
      <c r="G10" s="9"/>
    </row>
    <row r="11" spans="2:7" ht="12.75" hidden="1">
      <c r="B11" s="16" t="s">
        <v>84</v>
      </c>
      <c r="C11" s="17">
        <v>0</v>
      </c>
      <c r="D11" s="9"/>
      <c r="E11" s="9"/>
      <c r="F11" s="9"/>
      <c r="G11" s="9"/>
    </row>
    <row r="12" spans="2:7" ht="12.75" hidden="1">
      <c r="B12" s="8" t="s">
        <v>44</v>
      </c>
      <c r="C12" s="10">
        <f>SUM(C3:C11)</f>
        <v>57168</v>
      </c>
      <c r="D12" s="9"/>
      <c r="E12" s="9"/>
      <c r="F12" s="9"/>
      <c r="G12" s="9"/>
    </row>
    <row r="13" spans="2:7" ht="12.75" hidden="1">
      <c r="B13" s="16"/>
      <c r="C13" s="62"/>
      <c r="D13" s="9"/>
      <c r="E13" s="9"/>
      <c r="F13" s="9"/>
      <c r="G13" s="9"/>
    </row>
    <row r="14" spans="2:7" ht="12.75" hidden="1">
      <c r="B14" s="16"/>
      <c r="C14" s="62"/>
      <c r="D14" s="9"/>
      <c r="E14" s="9"/>
      <c r="F14" s="9"/>
      <c r="G14" s="9"/>
    </row>
    <row r="15" spans="2:10" ht="12.75" hidden="1">
      <c r="B15" s="9"/>
      <c r="C15" s="9"/>
      <c r="D15" s="9"/>
      <c r="E15" s="9"/>
      <c r="I15" s="8"/>
      <c r="J15" s="8"/>
    </row>
    <row r="16" spans="1:10" ht="12.75" hidden="1">
      <c r="A16" s="20" t="s">
        <v>48</v>
      </c>
      <c r="B16" s="9"/>
      <c r="C16" s="18"/>
      <c r="D16" s="9"/>
      <c r="E16" s="9"/>
      <c r="I16" s="19"/>
      <c r="J16" s="19"/>
    </row>
    <row r="17" spans="2:12" ht="38.25" hidden="1">
      <c r="B17" s="8"/>
      <c r="C17" s="8" t="s">
        <v>83</v>
      </c>
      <c r="D17" s="16" t="s">
        <v>49</v>
      </c>
      <c r="E17" s="36" t="s">
        <v>158</v>
      </c>
      <c r="F17" s="36" t="s">
        <v>86</v>
      </c>
      <c r="G17" s="36" t="s">
        <v>395</v>
      </c>
      <c r="H17" s="36" t="s">
        <v>85</v>
      </c>
      <c r="I17" s="25" t="s">
        <v>50</v>
      </c>
      <c r="J17" s="9"/>
      <c r="K17" s="168"/>
      <c r="L17" s="168"/>
    </row>
    <row r="18" spans="1:12" ht="12.75" hidden="1">
      <c r="A18" s="23">
        <v>1</v>
      </c>
      <c r="B18" s="8" t="s">
        <v>119</v>
      </c>
      <c r="C18" s="10">
        <f aca="true" t="shared" si="0" ref="C18:C25">A18*C3</f>
        <v>7263</v>
      </c>
      <c r="D18" s="21">
        <v>17.5</v>
      </c>
      <c r="E18" s="22">
        <f aca="true" t="shared" si="1" ref="E18:E27">A18*C18*(1+inflation)^D18</f>
        <v>10999.30602780732</v>
      </c>
      <c r="F18" s="40">
        <f>E18/$E$29</f>
        <v>0.14421142157017128</v>
      </c>
      <c r="G18" s="22">
        <f aca="true" t="shared" si="2" ref="G18:G27">F18*$G$29</f>
        <v>2923.3241477910988</v>
      </c>
      <c r="H18" s="22">
        <f>E18-G18</f>
        <v>8075.981880016222</v>
      </c>
      <c r="I18" s="11">
        <f aca="true" t="shared" si="3" ref="I18:I27">IF(intrate&lt;0.0000001,(H18/D18)/(27*12),(H18*intrate/(((1+intrate)^D18)-1))/(27*12))</f>
        <v>1.2026084315280026</v>
      </c>
      <c r="J18" s="11"/>
      <c r="K18" s="168"/>
      <c r="L18" s="168"/>
    </row>
    <row r="19" spans="1:12" ht="12.75" hidden="1">
      <c r="A19" s="23">
        <v>1</v>
      </c>
      <c r="B19" s="8" t="s">
        <v>113</v>
      </c>
      <c r="C19" s="10">
        <f t="shared" si="0"/>
        <v>12800</v>
      </c>
      <c r="D19" s="21">
        <v>12.5</v>
      </c>
      <c r="E19" s="22">
        <f t="shared" si="1"/>
        <v>17217.077233012857</v>
      </c>
      <c r="F19" s="40">
        <f aca="true" t="shared" si="4" ref="F19:F27">E19/$E$29</f>
        <v>0.22573234863901445</v>
      </c>
      <c r="G19" s="22">
        <f t="shared" si="2"/>
        <v>4575.843012496325</v>
      </c>
      <c r="H19" s="22">
        <f aca="true" t="shared" si="5" ref="H19:H27">E19-G19</f>
        <v>12641.234220516531</v>
      </c>
      <c r="I19" s="11">
        <f t="shared" si="3"/>
        <v>2.776685111345799</v>
      </c>
      <c r="J19" s="11"/>
      <c r="K19" s="168"/>
      <c r="L19" s="168"/>
    </row>
    <row r="20" spans="1:12" ht="13.5" customHeight="1" hidden="1">
      <c r="A20" s="23">
        <v>1</v>
      </c>
      <c r="B20" s="8" t="s">
        <v>112</v>
      </c>
      <c r="C20" s="10">
        <f t="shared" si="0"/>
        <v>22750</v>
      </c>
      <c r="D20" s="21">
        <v>10</v>
      </c>
      <c r="E20" s="22">
        <f t="shared" si="1"/>
        <v>28839.051155192217</v>
      </c>
      <c r="F20" s="40">
        <f t="shared" si="4"/>
        <v>0.37810754181318373</v>
      </c>
      <c r="G20" s="22">
        <f t="shared" si="2"/>
        <v>7664.655790849229</v>
      </c>
      <c r="H20" s="22">
        <f t="shared" si="5"/>
        <v>21174.39536434299</v>
      </c>
      <c r="I20" s="11">
        <f t="shared" si="3"/>
        <v>5.965741001568582</v>
      </c>
      <c r="J20" s="11"/>
      <c r="K20" s="168"/>
      <c r="L20" s="168"/>
    </row>
    <row r="21" spans="1:12" ht="12.75" hidden="1">
      <c r="A21" s="23">
        <v>1</v>
      </c>
      <c r="B21" s="8" t="s">
        <v>81</v>
      </c>
      <c r="C21" s="10">
        <f t="shared" si="0"/>
        <v>4300</v>
      </c>
      <c r="D21" s="21">
        <v>15</v>
      </c>
      <c r="E21" s="22">
        <f t="shared" si="1"/>
        <v>6137.165078635628</v>
      </c>
      <c r="F21" s="40">
        <f t="shared" si="4"/>
        <v>0.08046410365920947</v>
      </c>
      <c r="G21" s="22">
        <f t="shared" si="2"/>
        <v>1631.095891686201</v>
      </c>
      <c r="H21" s="22">
        <f t="shared" si="5"/>
        <v>4506.069186949427</v>
      </c>
      <c r="I21" s="11">
        <f t="shared" si="3"/>
        <v>0.8036339017320152</v>
      </c>
      <c r="J21" s="11"/>
      <c r="K21" s="168"/>
      <c r="L21" s="168"/>
    </row>
    <row r="22" spans="1:12" ht="12.75" hidden="1">
      <c r="A22" s="23">
        <v>0</v>
      </c>
      <c r="B22" s="8" t="s">
        <v>82</v>
      </c>
      <c r="C22" s="10">
        <f t="shared" si="0"/>
        <v>0</v>
      </c>
      <c r="D22" s="21">
        <v>3</v>
      </c>
      <c r="E22" s="22">
        <f t="shared" si="1"/>
        <v>0</v>
      </c>
      <c r="F22" s="40">
        <f t="shared" si="4"/>
        <v>0</v>
      </c>
      <c r="G22" s="22">
        <f t="shared" si="2"/>
        <v>0</v>
      </c>
      <c r="H22" s="22">
        <f t="shared" si="5"/>
        <v>0</v>
      </c>
      <c r="I22" s="11">
        <f t="shared" si="3"/>
        <v>0</v>
      </c>
      <c r="J22" s="448" t="s">
        <v>306</v>
      </c>
      <c r="K22" s="168"/>
      <c r="L22" s="168"/>
    </row>
    <row r="23" spans="1:12" ht="12.75" hidden="1">
      <c r="A23" s="23">
        <v>0</v>
      </c>
      <c r="B23" s="8" t="s">
        <v>92</v>
      </c>
      <c r="C23" s="10">
        <f t="shared" si="0"/>
        <v>0</v>
      </c>
      <c r="D23" s="21">
        <v>12</v>
      </c>
      <c r="E23" s="22">
        <f t="shared" si="1"/>
        <v>0</v>
      </c>
      <c r="F23" s="40">
        <f t="shared" si="4"/>
        <v>0</v>
      </c>
      <c r="G23" s="22">
        <f t="shared" si="2"/>
        <v>0</v>
      </c>
      <c r="H23" s="22">
        <f t="shared" si="5"/>
        <v>0</v>
      </c>
      <c r="I23" s="11">
        <f t="shared" si="3"/>
        <v>0</v>
      </c>
      <c r="J23" s="448" t="s">
        <v>307</v>
      </c>
      <c r="K23" s="168"/>
      <c r="L23" s="168"/>
    </row>
    <row r="24" spans="1:12" ht="12.75" hidden="1">
      <c r="A24" s="23">
        <v>1</v>
      </c>
      <c r="B24" s="14" t="s">
        <v>260</v>
      </c>
      <c r="C24" s="10">
        <f t="shared" si="0"/>
        <v>6400</v>
      </c>
      <c r="D24" s="21">
        <v>12</v>
      </c>
      <c r="E24" s="22">
        <f t="shared" si="1"/>
        <v>8507.059173023461</v>
      </c>
      <c r="F24" s="40">
        <f t="shared" si="4"/>
        <v>0.11153568176226487</v>
      </c>
      <c r="G24" s="22">
        <f t="shared" si="2"/>
        <v>2260.9509585710475</v>
      </c>
      <c r="H24" s="22">
        <f t="shared" si="5"/>
        <v>6246.108214452413</v>
      </c>
      <c r="I24" s="11">
        <f t="shared" si="3"/>
        <v>1.436560148080041</v>
      </c>
      <c r="J24" s="11"/>
      <c r="K24" s="168"/>
      <c r="L24" s="168"/>
    </row>
    <row r="25" spans="1:12" ht="12.75" hidden="1">
      <c r="A25" s="23">
        <v>1</v>
      </c>
      <c r="B25" s="14" t="s">
        <v>265</v>
      </c>
      <c r="C25" s="10">
        <f t="shared" si="0"/>
        <v>2100</v>
      </c>
      <c r="D25" s="21">
        <v>12</v>
      </c>
      <c r="E25" s="22">
        <f t="shared" si="1"/>
        <v>2791.378791148323</v>
      </c>
      <c r="F25" s="40">
        <f t="shared" si="4"/>
        <v>0.03659764557824316</v>
      </c>
      <c r="G25" s="22">
        <f t="shared" si="2"/>
        <v>741.8745332811249</v>
      </c>
      <c r="H25" s="22">
        <f t="shared" si="5"/>
        <v>2049.5042578671982</v>
      </c>
      <c r="I25" s="11">
        <f t="shared" si="3"/>
        <v>0.4713712985887634</v>
      </c>
      <c r="J25" s="11"/>
      <c r="K25" s="168"/>
      <c r="L25" s="168"/>
    </row>
    <row r="26" spans="1:12" ht="12.75" hidden="1">
      <c r="A26" s="23">
        <v>1</v>
      </c>
      <c r="B26" s="8" t="s">
        <v>84</v>
      </c>
      <c r="C26" s="10">
        <v>0</v>
      </c>
      <c r="D26" s="21">
        <v>20</v>
      </c>
      <c r="E26" s="22">
        <f>A26*C26*(1+inflation)^D26</f>
        <v>0</v>
      </c>
      <c r="F26" s="40">
        <f>E26/$E$29</f>
        <v>0</v>
      </c>
      <c r="G26" s="22">
        <f>F26*$G$29</f>
        <v>0</v>
      </c>
      <c r="H26" s="22">
        <f>E26-G26</f>
        <v>0</v>
      </c>
      <c r="I26" s="11">
        <f t="shared" si="3"/>
        <v>0</v>
      </c>
      <c r="J26" s="11"/>
      <c r="K26" s="168"/>
      <c r="L26" s="168"/>
    </row>
    <row r="27" spans="1:12" ht="12.75" hidden="1">
      <c r="A27" s="23">
        <v>1</v>
      </c>
      <c r="B27" s="145" t="s">
        <v>305</v>
      </c>
      <c r="C27" s="10">
        <v>1405</v>
      </c>
      <c r="D27" s="21">
        <v>10</v>
      </c>
      <c r="E27" s="22">
        <f t="shared" si="1"/>
        <v>1781.0490933206622</v>
      </c>
      <c r="F27" s="40">
        <f t="shared" si="4"/>
        <v>0.023351256977913105</v>
      </c>
      <c r="G27" s="22">
        <f t="shared" si="2"/>
        <v>473.3556653249743</v>
      </c>
      <c r="H27" s="22">
        <f t="shared" si="5"/>
        <v>1307.693427995688</v>
      </c>
      <c r="I27" s="11">
        <f t="shared" si="3"/>
        <v>0.3684336750419278</v>
      </c>
      <c r="J27" s="11"/>
      <c r="K27" s="168"/>
      <c r="L27" s="168"/>
    </row>
    <row r="28" spans="2:10" ht="12.75" hidden="1">
      <c r="B28" s="8"/>
      <c r="C28" s="12" t="s">
        <v>35</v>
      </c>
      <c r="D28" s="9"/>
      <c r="E28" s="12" t="s">
        <v>35</v>
      </c>
      <c r="F28" s="12" t="s">
        <v>35</v>
      </c>
      <c r="G28" s="12" t="s">
        <v>35</v>
      </c>
      <c r="H28" s="12" t="s">
        <v>35</v>
      </c>
      <c r="I28" s="12" t="s">
        <v>35</v>
      </c>
      <c r="J28" s="12"/>
    </row>
    <row r="29" spans="2:10" ht="12.75" hidden="1">
      <c r="B29" s="8" t="s">
        <v>29</v>
      </c>
      <c r="C29" s="10">
        <f>SUM(C18:C27)</f>
        <v>57018</v>
      </c>
      <c r="D29" s="9"/>
      <c r="E29" s="10">
        <f>SUM(E18:E27)</f>
        <v>76272.08655214046</v>
      </c>
      <c r="F29" s="40">
        <f>SUM(F18:F27)</f>
        <v>1.0000000000000002</v>
      </c>
      <c r="G29" s="17">
        <f>H47</f>
        <v>20271.1</v>
      </c>
      <c r="H29" s="10">
        <f>SUM(H18:H27)</f>
        <v>56000.98655214047</v>
      </c>
      <c r="I29" s="11">
        <f>SUM(I18:I27)</f>
        <v>13.02503356788513</v>
      </c>
      <c r="J29" t="s">
        <v>182</v>
      </c>
    </row>
    <row r="30" spans="2:10" ht="12.75" hidden="1">
      <c r="B30" s="9"/>
      <c r="C30" s="9"/>
      <c r="D30" s="9"/>
      <c r="E30" s="9"/>
      <c r="F30" s="45"/>
      <c r="G30" s="12" t="s">
        <v>35</v>
      </c>
      <c r="I30" s="42">
        <f>I29*26*12</f>
        <v>4063.8104731801604</v>
      </c>
      <c r="J30" t="s">
        <v>181</v>
      </c>
    </row>
    <row r="31" spans="2:9" ht="12.75" hidden="1">
      <c r="B31" s="9"/>
      <c r="C31" s="9"/>
      <c r="D31" s="9"/>
      <c r="E31" s="9"/>
      <c r="F31" s="45"/>
      <c r="G31" s="12"/>
      <c r="I31" s="42"/>
    </row>
    <row r="32" spans="2:12" ht="12.75">
      <c r="B32" s="9"/>
      <c r="C32" s="9"/>
      <c r="D32" s="9"/>
      <c r="F32" s="9" t="s">
        <v>180</v>
      </c>
      <c r="G32" s="12"/>
      <c r="H32" s="168"/>
      <c r="I32" s="561">
        <v>2000</v>
      </c>
      <c r="J32" s="151" t="s">
        <v>424</v>
      </c>
      <c r="K32" s="168"/>
      <c r="L32" s="168"/>
    </row>
    <row r="33" spans="2:12" ht="12.75" hidden="1">
      <c r="B33" s="25"/>
      <c r="C33" s="9"/>
      <c r="D33" s="25"/>
      <c r="E33" s="9"/>
      <c r="F33" s="9"/>
      <c r="G33" s="168"/>
      <c r="H33" s="168"/>
      <c r="I33" s="431">
        <f>SUM(I30,I32)</f>
        <v>6063.81047318016</v>
      </c>
      <c r="J33" s="168" t="s">
        <v>183</v>
      </c>
      <c r="K33" s="168"/>
      <c r="L33" s="168"/>
    </row>
    <row r="34" spans="2:12" ht="12.75" hidden="1">
      <c r="B34" s="25"/>
      <c r="C34" s="9"/>
      <c r="D34" s="25"/>
      <c r="E34" s="9"/>
      <c r="F34" s="9"/>
      <c r="G34" s="168"/>
      <c r="H34" s="168"/>
      <c r="I34" s="431"/>
      <c r="J34" s="168"/>
      <c r="K34" s="168"/>
      <c r="L34" s="168"/>
    </row>
    <row r="35" spans="2:12" ht="12.75" hidden="1">
      <c r="B35" s="25"/>
      <c r="C35" s="9"/>
      <c r="D35" s="25"/>
      <c r="E35" s="9"/>
      <c r="F35" s="9"/>
      <c r="G35" s="168"/>
      <c r="H35" s="168"/>
      <c r="I35" s="431"/>
      <c r="J35" s="168"/>
      <c r="K35" s="168"/>
      <c r="L35" s="168"/>
    </row>
    <row r="36" spans="2:12" ht="12.75">
      <c r="B36" s="25"/>
      <c r="C36" s="9"/>
      <c r="D36" s="25"/>
      <c r="E36" s="9"/>
      <c r="F36" s="9"/>
      <c r="G36" s="168"/>
      <c r="H36" s="168"/>
      <c r="I36" s="431"/>
      <c r="J36" s="168"/>
      <c r="K36" s="168"/>
      <c r="L36" s="168"/>
    </row>
    <row r="37" spans="1:8" s="6" customFormat="1" ht="12.75">
      <c r="A37" s="725" t="s">
        <v>170</v>
      </c>
      <c r="B37" s="725"/>
      <c r="C37" s="112" t="s">
        <v>175</v>
      </c>
      <c r="D37" s="112" t="s">
        <v>168</v>
      </c>
      <c r="E37" s="112" t="s">
        <v>316</v>
      </c>
      <c r="F37" s="44" t="s">
        <v>317</v>
      </c>
      <c r="G37" s="112" t="s">
        <v>224</v>
      </c>
      <c r="H37" s="112" t="s">
        <v>169</v>
      </c>
    </row>
    <row r="38" spans="1:8" ht="12.75">
      <c r="A38" s="726" t="s">
        <v>177</v>
      </c>
      <c r="B38" s="726"/>
      <c r="F38" s="137"/>
      <c r="H38" s="137">
        <v>44</v>
      </c>
    </row>
    <row r="39" spans="1:9" ht="12.75">
      <c r="A39" s="726">
        <v>2004</v>
      </c>
      <c r="B39" s="726"/>
      <c r="C39" s="467">
        <v>3301</v>
      </c>
      <c r="D39" s="467">
        <v>13</v>
      </c>
      <c r="E39" s="467">
        <v>-1230</v>
      </c>
      <c r="F39" s="467"/>
      <c r="G39" s="47">
        <v>5</v>
      </c>
      <c r="H39" s="137">
        <f aca="true" t="shared" si="6" ref="H39:H45">H38+C39+E39+F39+G39</f>
        <v>2120</v>
      </c>
      <c r="I39" s="138" t="s">
        <v>178</v>
      </c>
    </row>
    <row r="40" spans="2:9" ht="12.75">
      <c r="B40" s="9">
        <v>2005</v>
      </c>
      <c r="C40" s="465">
        <v>4355</v>
      </c>
      <c r="D40" s="474">
        <v>15</v>
      </c>
      <c r="E40" s="465">
        <v>-3203</v>
      </c>
      <c r="F40" s="467"/>
      <c r="G40" s="8">
        <v>77</v>
      </c>
      <c r="H40" s="137">
        <f t="shared" si="6"/>
        <v>3349</v>
      </c>
      <c r="I40" s="138" t="s">
        <v>178</v>
      </c>
    </row>
    <row r="41" spans="2:9" ht="12.75">
      <c r="B41" s="8">
        <v>2006</v>
      </c>
      <c r="C41" s="465">
        <v>5958</v>
      </c>
      <c r="D41" s="465">
        <v>19</v>
      </c>
      <c r="E41" s="474">
        <v>-350</v>
      </c>
      <c r="F41" s="467"/>
      <c r="G41" s="9">
        <v>133</v>
      </c>
      <c r="H41" s="137">
        <f t="shared" si="6"/>
        <v>9090</v>
      </c>
      <c r="I41" s="138" t="s">
        <v>178</v>
      </c>
    </row>
    <row r="42" spans="2:9" ht="12.75">
      <c r="B42" s="8">
        <v>2007</v>
      </c>
      <c r="C42" s="465">
        <v>5928</v>
      </c>
      <c r="D42" s="465">
        <v>19</v>
      </c>
      <c r="E42" s="474">
        <v>-526</v>
      </c>
      <c r="F42" s="467">
        <v>-1596</v>
      </c>
      <c r="G42" s="10">
        <v>409</v>
      </c>
      <c r="H42" s="137">
        <f t="shared" si="6"/>
        <v>13305</v>
      </c>
      <c r="I42" s="138" t="s">
        <v>178</v>
      </c>
    </row>
    <row r="43" spans="2:9" ht="12.75">
      <c r="B43" s="145">
        <v>2008</v>
      </c>
      <c r="C43" s="465">
        <v>6200</v>
      </c>
      <c r="D43" s="465">
        <v>20</v>
      </c>
      <c r="E43" s="474">
        <v>-1065</v>
      </c>
      <c r="F43" s="467">
        <v>-1014</v>
      </c>
      <c r="G43" s="10">
        <v>488</v>
      </c>
      <c r="H43" s="137">
        <f t="shared" si="6"/>
        <v>17914</v>
      </c>
      <c r="I43" s="138" t="s">
        <v>178</v>
      </c>
    </row>
    <row r="44" spans="2:9" ht="12.75">
      <c r="B44" s="14">
        <v>2009</v>
      </c>
      <c r="C44" s="465">
        <v>5931</v>
      </c>
      <c r="D44" s="475">
        <v>19</v>
      </c>
      <c r="E44" s="474">
        <v>-2455</v>
      </c>
      <c r="F44" s="475">
        <v>-4713</v>
      </c>
      <c r="G44" s="10">
        <v>518</v>
      </c>
      <c r="H44" s="137">
        <f t="shared" si="6"/>
        <v>17195</v>
      </c>
      <c r="I44" s="138" t="s">
        <v>178</v>
      </c>
    </row>
    <row r="45" spans="2:9" ht="12.75">
      <c r="B45" s="46">
        <v>2010</v>
      </c>
      <c r="C45" s="465">
        <v>5908</v>
      </c>
      <c r="D45" s="475">
        <f>Fees!G4</f>
        <v>13</v>
      </c>
      <c r="E45" s="474">
        <v>-6249</v>
      </c>
      <c r="F45" s="467"/>
      <c r="G45" s="10">
        <v>385</v>
      </c>
      <c r="H45" s="137">
        <f t="shared" si="6"/>
        <v>17239</v>
      </c>
      <c r="I45" s="138" t="s">
        <v>178</v>
      </c>
    </row>
    <row r="46" spans="2:9" ht="12.75">
      <c r="B46" s="14">
        <v>2011</v>
      </c>
      <c r="C46" s="465">
        <v>5966</v>
      </c>
      <c r="D46" s="475">
        <v>19</v>
      </c>
      <c r="E46" s="474">
        <v>-5019.15</v>
      </c>
      <c r="F46" s="467"/>
      <c r="G46" s="10">
        <v>362.14</v>
      </c>
      <c r="H46" s="250">
        <f aca="true" t="shared" si="7" ref="H46:H51">H45+C46+E46+F46+G46</f>
        <v>18547.989999999998</v>
      </c>
      <c r="I46" s="138" t="s">
        <v>178</v>
      </c>
    </row>
    <row r="47" spans="2:14" ht="12.75">
      <c r="B47" s="46">
        <v>2012</v>
      </c>
      <c r="C47" s="465">
        <v>5947</v>
      </c>
      <c r="D47" s="475">
        <v>19</v>
      </c>
      <c r="E47" s="474">
        <v>-4479.71</v>
      </c>
      <c r="F47" s="467"/>
      <c r="G47" s="10">
        <v>255.82</v>
      </c>
      <c r="H47" s="250">
        <f t="shared" si="7"/>
        <v>20271.1</v>
      </c>
      <c r="I47" s="138" t="s">
        <v>178</v>
      </c>
      <c r="K47" s="264"/>
      <c r="L47" s="168"/>
      <c r="M47" s="168"/>
      <c r="N47" s="168"/>
    </row>
    <row r="48" spans="2:9" ht="12.75">
      <c r="B48" s="461">
        <v>2013</v>
      </c>
      <c r="C48" s="465">
        <v>5823.65</v>
      </c>
      <c r="D48" s="475">
        <v>18</v>
      </c>
      <c r="E48" s="474">
        <v>-3478.39</v>
      </c>
      <c r="F48" s="468"/>
      <c r="G48" s="10">
        <v>266.52</v>
      </c>
      <c r="H48" s="250">
        <f t="shared" si="7"/>
        <v>22882.88</v>
      </c>
      <c r="I48" s="413"/>
    </row>
    <row r="49" spans="2:11" ht="12.75">
      <c r="B49" s="8">
        <v>2014</v>
      </c>
      <c r="C49" s="465">
        <v>5840.35</v>
      </c>
      <c r="D49" s="475">
        <v>18</v>
      </c>
      <c r="E49" s="474">
        <v>0</v>
      </c>
      <c r="F49" s="468"/>
      <c r="G49" s="10">
        <v>248.57</v>
      </c>
      <c r="H49" s="250">
        <f t="shared" si="7"/>
        <v>28971.800000000003</v>
      </c>
      <c r="I49" s="47"/>
      <c r="J49" s="47"/>
      <c r="K49" s="47"/>
    </row>
    <row r="50" spans="2:11" ht="12.75">
      <c r="B50" s="8">
        <v>2015</v>
      </c>
      <c r="C50" s="465">
        <v>5830.26</v>
      </c>
      <c r="D50" s="475">
        <v>18</v>
      </c>
      <c r="E50" s="474">
        <f>-1369.07</f>
        <v>-1369.07</v>
      </c>
      <c r="F50" s="468"/>
      <c r="G50" s="10">
        <v>331.65</v>
      </c>
      <c r="H50" s="250">
        <f t="shared" si="7"/>
        <v>33764.64000000001</v>
      </c>
      <c r="I50" s="461"/>
      <c r="J50" s="470"/>
      <c r="K50" s="47"/>
    </row>
    <row r="51" spans="2:11" ht="12.75">
      <c r="B51" s="8">
        <v>2016</v>
      </c>
      <c r="C51" s="465">
        <v>5185.74</v>
      </c>
      <c r="D51" s="475">
        <v>16</v>
      </c>
      <c r="E51" s="474">
        <f>-(380+304.87+369.25+1386.38+1462.96+320+499.39)</f>
        <v>-4722.85</v>
      </c>
      <c r="F51" s="468">
        <f>-(1475.94+(1608.85*2))</f>
        <v>-4693.639999999999</v>
      </c>
      <c r="G51" s="10">
        <v>322.19</v>
      </c>
      <c r="H51" s="250">
        <f t="shared" si="7"/>
        <v>29856.080000000005</v>
      </c>
      <c r="I51" s="461"/>
      <c r="J51" s="470"/>
      <c r="K51" s="47"/>
    </row>
    <row r="52" spans="2:11" ht="12.75">
      <c r="B52" s="658" t="s">
        <v>523</v>
      </c>
      <c r="C52" s="465">
        <f>D52*Summary!$C$46*12</f>
        <v>4212</v>
      </c>
      <c r="D52" s="475">
        <v>13</v>
      </c>
      <c r="E52" s="474">
        <v>-2000</v>
      </c>
      <c r="F52" s="468">
        <v>0</v>
      </c>
      <c r="G52" s="10">
        <f>H51*$J$56</f>
        <v>298.5608000000001</v>
      </c>
      <c r="H52" s="250">
        <f>H51+C52+E52+F52+G52</f>
        <v>32366.6408</v>
      </c>
      <c r="I52" s="461"/>
      <c r="J52" s="470"/>
      <c r="K52" s="472"/>
    </row>
    <row r="53" spans="2:11" ht="12.75">
      <c r="B53" s="658" t="s">
        <v>524</v>
      </c>
      <c r="C53" s="563">
        <f>D53*Summary!$C$46*12</f>
        <v>4212</v>
      </c>
      <c r="D53" s="570">
        <v>13</v>
      </c>
      <c r="E53" s="564">
        <v>-2000</v>
      </c>
      <c r="F53" s="565">
        <v>0</v>
      </c>
      <c r="G53" s="571">
        <f>H52*$J$56</f>
        <v>323.666408</v>
      </c>
      <c r="H53" s="572">
        <f>H52+C53+E53+F53+G53</f>
        <v>34902.307208</v>
      </c>
      <c r="I53" s="461"/>
      <c r="J53" s="470"/>
      <c r="K53" s="47"/>
    </row>
    <row r="54" spans="2:11" ht="12.75">
      <c r="B54" s="8"/>
      <c r="C54" s="465"/>
      <c r="D54" s="475"/>
      <c r="E54" s="474"/>
      <c r="F54" s="468"/>
      <c r="G54" s="10"/>
      <c r="H54" s="250"/>
      <c r="I54" s="461"/>
      <c r="J54" s="470"/>
      <c r="K54" s="47"/>
    </row>
    <row r="55" spans="2:11" ht="12.75">
      <c r="B55" s="8"/>
      <c r="C55" s="8"/>
      <c r="D55" s="47"/>
      <c r="E55" s="47"/>
      <c r="F55" s="117"/>
      <c r="G55" s="47"/>
      <c r="H55" s="47"/>
      <c r="I55" s="461"/>
      <c r="J55" s="470"/>
      <c r="K55" s="47"/>
    </row>
    <row r="56" spans="2:11" ht="12.75">
      <c r="B56" s="8"/>
      <c r="C56" s="8"/>
      <c r="D56" s="47"/>
      <c r="E56" s="47"/>
      <c r="F56" s="117"/>
      <c r="G56" s="47"/>
      <c r="H56" s="47"/>
      <c r="I56" s="13" t="s">
        <v>423</v>
      </c>
      <c r="J56" s="462">
        <v>0.01</v>
      </c>
      <c r="K56" s="47"/>
    </row>
    <row r="57" spans="2:11" ht="12.75">
      <c r="B57" s="8"/>
      <c r="C57" s="8"/>
      <c r="D57" s="47"/>
      <c r="E57" s="47"/>
      <c r="F57" s="117"/>
      <c r="G57" s="47"/>
      <c r="H57" s="47"/>
      <c r="I57" s="13"/>
      <c r="J57" s="462"/>
      <c r="K57" s="47"/>
    </row>
    <row r="58" spans="2:11" ht="12.75">
      <c r="B58" s="8"/>
      <c r="C58" s="8"/>
      <c r="D58" s="47"/>
      <c r="E58" s="47"/>
      <c r="F58" s="117"/>
      <c r="G58" s="47"/>
      <c r="H58" s="47"/>
      <c r="I58" s="13"/>
      <c r="J58" s="462"/>
      <c r="K58" s="47"/>
    </row>
    <row r="59" spans="1:6" ht="12.75">
      <c r="A59" s="234" t="s">
        <v>374</v>
      </c>
      <c r="B59" s="9"/>
      <c r="C59" s="9"/>
      <c r="F59" s="137"/>
    </row>
    <row r="60" spans="1:6" ht="12.75">
      <c r="A60" s="5" t="s">
        <v>402</v>
      </c>
      <c r="B60" s="9"/>
      <c r="C60" s="9"/>
      <c r="F60" s="137"/>
    </row>
    <row r="61" spans="1:6" ht="12.75">
      <c r="A61" s="5"/>
      <c r="B61" s="9"/>
      <c r="C61" s="9"/>
      <c r="F61" s="137"/>
    </row>
    <row r="62" spans="1:6" ht="12.75">
      <c r="A62" s="5"/>
      <c r="B62" s="9"/>
      <c r="C62" s="9"/>
      <c r="F62" s="137"/>
    </row>
    <row r="63" spans="1:6" ht="12.75">
      <c r="A63" s="5"/>
      <c r="B63" s="9"/>
      <c r="C63" s="9"/>
      <c r="F63" s="137"/>
    </row>
    <row r="64" spans="1:6" ht="12.75">
      <c r="A64" s="5"/>
      <c r="B64" s="9"/>
      <c r="C64" s="9"/>
      <c r="F64" s="137"/>
    </row>
    <row r="65" spans="1:6" ht="12.75">
      <c r="A65" s="5"/>
      <c r="B65" s="9"/>
      <c r="C65" s="9"/>
      <c r="F65" s="137"/>
    </row>
    <row r="66" spans="1:9" ht="12.75">
      <c r="A66" s="654" t="s">
        <v>513</v>
      </c>
      <c r="B66" s="655"/>
      <c r="C66" s="655"/>
      <c r="D66" s="656"/>
      <c r="E66" s="656"/>
      <c r="F66" s="657"/>
      <c r="G66" s="656"/>
      <c r="H66" s="656"/>
      <c r="I66" s="656"/>
    </row>
    <row r="67" spans="1:9" ht="12.75">
      <c r="A67" s="654" t="s">
        <v>511</v>
      </c>
      <c r="B67" s="655"/>
      <c r="C67" s="655"/>
      <c r="D67" s="656"/>
      <c r="E67" s="656"/>
      <c r="F67" s="657"/>
      <c r="G67" s="656"/>
      <c r="H67" s="656"/>
      <c r="I67" s="656"/>
    </row>
    <row r="68" spans="1:9" ht="12.75">
      <c r="A68" s="654" t="s">
        <v>512</v>
      </c>
      <c r="B68" s="655"/>
      <c r="C68" s="655"/>
      <c r="D68" s="656"/>
      <c r="E68" s="656"/>
      <c r="F68" s="657"/>
      <c r="G68" s="656"/>
      <c r="H68" s="656"/>
      <c r="I68" s="656"/>
    </row>
    <row r="69" spans="1:9" ht="12.75">
      <c r="A69" s="559"/>
      <c r="B69" s="9"/>
      <c r="C69" s="9"/>
      <c r="D69" s="168"/>
      <c r="E69" s="168"/>
      <c r="F69" s="250"/>
      <c r="G69" s="168"/>
      <c r="H69" s="168"/>
      <c r="I69" s="168"/>
    </row>
    <row r="70" spans="2:6" ht="12.75">
      <c r="B70" s="9"/>
      <c r="C70" s="9"/>
      <c r="F70" s="137"/>
    </row>
    <row r="71" spans="2:10" ht="12.75">
      <c r="B71" s="168" t="s">
        <v>341</v>
      </c>
      <c r="C71" s="9"/>
      <c r="D71" s="168"/>
      <c r="E71" s="168"/>
      <c r="F71" s="250"/>
      <c r="G71" s="168"/>
      <c r="H71" s="168"/>
      <c r="I71" s="168"/>
      <c r="J71" s="168"/>
    </row>
    <row r="72" spans="2:10" ht="12.75">
      <c r="B72" s="168" t="s">
        <v>184</v>
      </c>
      <c r="C72" s="168"/>
      <c r="D72" s="168"/>
      <c r="E72" s="168"/>
      <c r="F72" s="168"/>
      <c r="G72" s="168"/>
      <c r="H72" s="168"/>
      <c r="I72" s="168"/>
      <c r="J72" s="168"/>
    </row>
    <row r="73" spans="2:10" ht="12.75" customHeight="1">
      <c r="B73" s="168" t="s">
        <v>212</v>
      </c>
      <c r="C73" s="425"/>
      <c r="D73" s="426"/>
      <c r="E73" s="168"/>
      <c r="F73" s="168"/>
      <c r="G73" s="168"/>
      <c r="H73" s="168"/>
      <c r="I73" s="168"/>
      <c r="J73" s="168"/>
    </row>
    <row r="74" spans="2:10" ht="12.75" customHeight="1">
      <c r="B74" s="168"/>
      <c r="C74" s="425"/>
      <c r="D74" s="426"/>
      <c r="E74" s="168"/>
      <c r="F74" s="168"/>
      <c r="G74" s="168"/>
      <c r="H74" s="168"/>
      <c r="I74" s="168"/>
      <c r="J74" s="168"/>
    </row>
    <row r="75" spans="1:10" ht="12.75" customHeight="1">
      <c r="A75" s="5" t="s">
        <v>392</v>
      </c>
      <c r="B75" s="168"/>
      <c r="C75" s="425"/>
      <c r="D75" s="426"/>
      <c r="E75" s="168"/>
      <c r="F75" s="168"/>
      <c r="G75" s="168"/>
      <c r="H75" s="168"/>
      <c r="I75" s="168"/>
      <c r="J75" s="168"/>
    </row>
    <row r="76" spans="3:4" ht="15.75">
      <c r="C76" s="49"/>
      <c r="D76" s="48"/>
    </row>
    <row r="77" spans="1:3" ht="12.75">
      <c r="A77" s="120" t="s">
        <v>111</v>
      </c>
      <c r="B77" s="120" t="s">
        <v>102</v>
      </c>
      <c r="C77" s="32"/>
    </row>
    <row r="78" spans="1:8" ht="12.75">
      <c r="A78" s="6" t="s">
        <v>94</v>
      </c>
      <c r="B78" t="s">
        <v>103</v>
      </c>
      <c r="D78" s="168" t="s">
        <v>425</v>
      </c>
      <c r="E78" s="168"/>
      <c r="F78" s="168"/>
      <c r="G78" s="168"/>
      <c r="H78" s="168"/>
    </row>
    <row r="79" spans="1:8" ht="12.75">
      <c r="A79" s="6" t="s">
        <v>95</v>
      </c>
      <c r="B79" t="s">
        <v>110</v>
      </c>
      <c r="D79" s="168" t="s">
        <v>443</v>
      </c>
      <c r="E79" s="168"/>
      <c r="F79" s="168"/>
      <c r="G79" s="168"/>
      <c r="H79" s="168"/>
    </row>
    <row r="80" spans="1:8" ht="12.75">
      <c r="A80" s="6" t="s">
        <v>96</v>
      </c>
      <c r="B80" t="s">
        <v>104</v>
      </c>
      <c r="D80" s="168" t="s">
        <v>426</v>
      </c>
      <c r="E80" s="168"/>
      <c r="F80" s="168"/>
      <c r="G80" s="168"/>
      <c r="H80" s="168"/>
    </row>
    <row r="81" spans="1:8" ht="12.75">
      <c r="A81" s="6" t="s">
        <v>97</v>
      </c>
      <c r="B81" t="s">
        <v>107</v>
      </c>
      <c r="D81" s="168" t="s">
        <v>143</v>
      </c>
      <c r="E81" s="168"/>
      <c r="F81" s="168"/>
      <c r="G81" s="168"/>
      <c r="H81" s="168"/>
    </row>
    <row r="82" spans="1:8" ht="12.75">
      <c r="A82" s="6" t="s">
        <v>98</v>
      </c>
      <c r="B82" t="s">
        <v>108</v>
      </c>
      <c r="D82" s="168" t="s">
        <v>427</v>
      </c>
      <c r="E82" s="168"/>
      <c r="F82" s="168"/>
      <c r="G82" s="168"/>
      <c r="H82" s="168"/>
    </row>
    <row r="83" spans="1:8" ht="12.75">
      <c r="A83" s="6" t="s">
        <v>99</v>
      </c>
      <c r="B83" t="s">
        <v>109</v>
      </c>
      <c r="D83" s="168" t="s">
        <v>428</v>
      </c>
      <c r="E83" s="168"/>
      <c r="F83" s="168"/>
      <c r="G83" s="168"/>
      <c r="H83" s="168"/>
    </row>
    <row r="84" spans="1:8" ht="12.75">
      <c r="A84" s="6" t="s">
        <v>100</v>
      </c>
      <c r="B84" s="15" t="s">
        <v>106</v>
      </c>
      <c r="D84" s="168" t="s">
        <v>429</v>
      </c>
      <c r="E84" s="168"/>
      <c r="F84" s="168"/>
      <c r="G84" s="168"/>
      <c r="H84" s="168"/>
    </row>
    <row r="85" spans="1:8" ht="12.75">
      <c r="A85" s="6" t="s">
        <v>101</v>
      </c>
      <c r="B85" t="s">
        <v>105</v>
      </c>
      <c r="D85" s="168" t="s">
        <v>430</v>
      </c>
      <c r="E85" s="168"/>
      <c r="F85" s="168"/>
      <c r="G85" s="168"/>
      <c r="H85" s="168"/>
    </row>
    <row r="88" spans="1:7" ht="15.75">
      <c r="A88" s="264"/>
      <c r="B88" s="168"/>
      <c r="C88" s="425"/>
      <c r="D88" s="426"/>
      <c r="E88" s="168"/>
      <c r="F88" s="168"/>
      <c r="G88" s="168"/>
    </row>
    <row r="89" spans="1:7" ht="12.75">
      <c r="A89" s="264"/>
      <c r="B89" s="264"/>
      <c r="C89" s="264"/>
      <c r="D89" s="264"/>
      <c r="E89" s="264"/>
      <c r="F89" s="264"/>
      <c r="G89" s="264"/>
    </row>
    <row r="90" s="168" customFormat="1" ht="12.75"/>
    <row r="91" spans="10:15" ht="12.75">
      <c r="J91" s="23"/>
      <c r="K91" s="364" t="s">
        <v>504</v>
      </c>
      <c r="L91" s="365"/>
      <c r="M91" s="365"/>
      <c r="N91" s="365"/>
      <c r="O91" s="23"/>
    </row>
    <row r="92" spans="6:15" ht="12.75">
      <c r="F92" s="6"/>
      <c r="G92" s="6"/>
      <c r="J92" s="23"/>
      <c r="K92" s="44" t="s">
        <v>230</v>
      </c>
      <c r="L92" s="44" t="s">
        <v>357</v>
      </c>
      <c r="M92" s="120" t="s">
        <v>356</v>
      </c>
      <c r="N92" s="44" t="s">
        <v>283</v>
      </c>
      <c r="O92" s="23"/>
    </row>
    <row r="93" spans="10:15" ht="12.75">
      <c r="J93" s="23"/>
      <c r="K93" s="369">
        <v>37653</v>
      </c>
      <c r="L93" s="361" t="s">
        <v>372</v>
      </c>
      <c r="M93" s="113" t="s">
        <v>359</v>
      </c>
      <c r="N93" s="370">
        <v>739.52</v>
      </c>
      <c r="O93" s="23"/>
    </row>
    <row r="94" spans="10:15" ht="12.75">
      <c r="J94" s="23"/>
      <c r="K94" s="369">
        <v>38047</v>
      </c>
      <c r="L94" s="361" t="s">
        <v>442</v>
      </c>
      <c r="M94" s="113" t="s">
        <v>365</v>
      </c>
      <c r="N94" s="370">
        <v>470</v>
      </c>
      <c r="O94" s="23"/>
    </row>
    <row r="95" spans="10:15" ht="12.75">
      <c r="J95" s="23"/>
      <c r="K95" s="369">
        <v>38565</v>
      </c>
      <c r="L95" s="361" t="s">
        <v>354</v>
      </c>
      <c r="M95" s="113" t="s">
        <v>366</v>
      </c>
      <c r="N95" s="370">
        <v>1202.5</v>
      </c>
      <c r="O95" s="23"/>
    </row>
    <row r="96" spans="10:15" ht="12.75">
      <c r="J96" s="23"/>
      <c r="K96" s="369">
        <v>39234</v>
      </c>
      <c r="L96" s="361" t="s">
        <v>363</v>
      </c>
      <c r="M96" s="113" t="s">
        <v>359</v>
      </c>
      <c r="N96" s="370">
        <v>1596.1</v>
      </c>
      <c r="O96" s="23"/>
    </row>
    <row r="97" spans="10:15" ht="12.75">
      <c r="J97" s="23"/>
      <c r="K97" s="369">
        <v>39630</v>
      </c>
      <c r="L97" s="361" t="s">
        <v>364</v>
      </c>
      <c r="M97" s="113" t="s">
        <v>359</v>
      </c>
      <c r="N97" s="370">
        <v>1014.36</v>
      </c>
      <c r="O97" s="23"/>
    </row>
    <row r="98" spans="10:15" ht="12.75">
      <c r="J98" s="23"/>
      <c r="K98" s="369">
        <v>40148</v>
      </c>
      <c r="L98" s="361" t="s">
        <v>369</v>
      </c>
      <c r="M98" s="113" t="s">
        <v>365</v>
      </c>
      <c r="N98" s="370">
        <v>3307.8</v>
      </c>
      <c r="O98" s="23"/>
    </row>
    <row r="99" spans="10:15" ht="12.75">
      <c r="J99" s="23"/>
      <c r="K99" s="369">
        <v>40330</v>
      </c>
      <c r="L99" s="361" t="s">
        <v>360</v>
      </c>
      <c r="M99" s="113" t="s">
        <v>359</v>
      </c>
      <c r="N99" s="370">
        <v>1346.84</v>
      </c>
      <c r="O99" s="23"/>
    </row>
    <row r="100" spans="10:15" ht="12.75">
      <c r="J100" s="23"/>
      <c r="K100" s="369">
        <v>40391</v>
      </c>
      <c r="L100" s="361" t="s">
        <v>367</v>
      </c>
      <c r="M100" s="113" t="s">
        <v>366</v>
      </c>
      <c r="N100" s="370">
        <v>250</v>
      </c>
      <c r="O100" s="23"/>
    </row>
    <row r="101" spans="10:15" ht="12.75">
      <c r="J101" s="23"/>
      <c r="K101" s="369">
        <v>40391</v>
      </c>
      <c r="L101" s="361" t="s">
        <v>368</v>
      </c>
      <c r="M101" s="113" t="s">
        <v>365</v>
      </c>
      <c r="N101" s="370">
        <f>900+75+200+61.25</f>
        <v>1236.25</v>
      </c>
      <c r="O101" s="23"/>
    </row>
    <row r="102" spans="10:15" ht="12.75">
      <c r="J102" s="23"/>
      <c r="K102" s="369">
        <v>40513</v>
      </c>
      <c r="L102" s="361" t="s">
        <v>358</v>
      </c>
      <c r="M102" s="113" t="s">
        <v>359</v>
      </c>
      <c r="N102" s="370">
        <v>893.51</v>
      </c>
      <c r="O102" s="23"/>
    </row>
    <row r="103" spans="10:15" ht="12.75">
      <c r="J103" s="23"/>
      <c r="K103" s="369">
        <v>40695</v>
      </c>
      <c r="L103" s="361" t="s">
        <v>361</v>
      </c>
      <c r="M103" s="113" t="s">
        <v>359</v>
      </c>
      <c r="N103" s="370">
        <v>1327.04</v>
      </c>
      <c r="O103" s="23"/>
    </row>
    <row r="104" spans="10:15" ht="12.75">
      <c r="J104" s="23"/>
      <c r="K104" s="369">
        <v>40725</v>
      </c>
      <c r="L104" s="361" t="s">
        <v>362</v>
      </c>
      <c r="M104" s="113" t="s">
        <v>359</v>
      </c>
      <c r="N104" s="370">
        <v>1480.28</v>
      </c>
      <c r="O104" s="23"/>
    </row>
    <row r="105" spans="10:15" ht="12.75">
      <c r="J105" s="23"/>
      <c r="K105" s="369">
        <v>40756</v>
      </c>
      <c r="L105" s="361" t="s">
        <v>353</v>
      </c>
      <c r="M105" s="113" t="s">
        <v>366</v>
      </c>
      <c r="N105" s="370">
        <v>1250</v>
      </c>
      <c r="O105" s="23"/>
    </row>
    <row r="106" spans="10:15" ht="12.75">
      <c r="J106" s="23"/>
      <c r="K106" s="427">
        <v>40878</v>
      </c>
      <c r="L106" s="428" t="s">
        <v>389</v>
      </c>
      <c r="M106" s="429" t="s">
        <v>366</v>
      </c>
      <c r="N106" s="430">
        <v>330</v>
      </c>
      <c r="O106" s="23"/>
    </row>
    <row r="107" spans="10:15" ht="12.75">
      <c r="J107" s="23"/>
      <c r="K107" s="427">
        <v>41000</v>
      </c>
      <c r="L107" s="428" t="s">
        <v>353</v>
      </c>
      <c r="M107" s="429" t="s">
        <v>359</v>
      </c>
      <c r="N107" s="430">
        <v>1333.47</v>
      </c>
      <c r="O107" s="23"/>
    </row>
    <row r="108" spans="10:15" ht="12.75">
      <c r="J108" s="23"/>
      <c r="K108" s="427">
        <v>41030</v>
      </c>
      <c r="L108" s="428" t="s">
        <v>355</v>
      </c>
      <c r="M108" s="429" t="s">
        <v>366</v>
      </c>
      <c r="N108" s="430">
        <f>100+482.66</f>
        <v>582.6600000000001</v>
      </c>
      <c r="O108" s="23"/>
    </row>
    <row r="109" spans="10:15" ht="12.75">
      <c r="J109" s="23"/>
      <c r="K109" s="427">
        <v>41102</v>
      </c>
      <c r="L109" s="361" t="s">
        <v>361</v>
      </c>
      <c r="M109" s="113" t="s">
        <v>359</v>
      </c>
      <c r="N109" s="430">
        <v>1004.47</v>
      </c>
      <c r="O109" s="23"/>
    </row>
    <row r="110" spans="10:15" ht="12.75">
      <c r="J110" s="23"/>
      <c r="K110" s="427">
        <v>41493</v>
      </c>
      <c r="L110" s="428" t="s">
        <v>441</v>
      </c>
      <c r="M110" s="113" t="s">
        <v>359</v>
      </c>
      <c r="N110" s="430">
        <f>824.97+360</f>
        <v>1184.97</v>
      </c>
      <c r="O110" s="23"/>
    </row>
    <row r="111" spans="10:15" ht="12.75">
      <c r="J111" s="23"/>
      <c r="K111" s="427">
        <v>41513</v>
      </c>
      <c r="L111" s="428" t="s">
        <v>353</v>
      </c>
      <c r="M111" s="429" t="s">
        <v>468</v>
      </c>
      <c r="N111" s="430">
        <v>289.93</v>
      </c>
      <c r="O111" s="23"/>
    </row>
    <row r="112" spans="10:15" ht="12.75">
      <c r="J112" s="23"/>
      <c r="K112" s="427">
        <v>42125</v>
      </c>
      <c r="L112" s="428" t="s">
        <v>364</v>
      </c>
      <c r="M112" s="113" t="s">
        <v>472</v>
      </c>
      <c r="N112" s="430">
        <v>1369.07</v>
      </c>
      <c r="O112" s="23"/>
    </row>
    <row r="113" spans="10:15" ht="12.75">
      <c r="J113" s="23"/>
      <c r="K113" s="427">
        <v>42370</v>
      </c>
      <c r="L113" s="428"/>
      <c r="M113" s="429" t="s">
        <v>506</v>
      </c>
      <c r="N113" s="430">
        <v>1475.94</v>
      </c>
      <c r="O113" s="23"/>
    </row>
    <row r="114" spans="10:15" ht="12.75">
      <c r="J114" s="23"/>
      <c r="K114" s="427">
        <v>42461</v>
      </c>
      <c r="L114" s="428"/>
      <c r="M114" s="429" t="s">
        <v>505</v>
      </c>
      <c r="N114" s="430">
        <f>1608.85+1608.85+369.25</f>
        <v>3586.95</v>
      </c>
      <c r="O114" s="23"/>
    </row>
    <row r="115" spans="10:15" ht="12.75">
      <c r="J115" s="23"/>
      <c r="K115" s="427">
        <v>42522</v>
      </c>
      <c r="L115" s="428" t="s">
        <v>362</v>
      </c>
      <c r="M115" s="113" t="s">
        <v>496</v>
      </c>
      <c r="N115" s="430">
        <v>1386.38</v>
      </c>
      <c r="O115" s="23"/>
    </row>
    <row r="116" spans="10:15" ht="12.75">
      <c r="J116" s="23"/>
      <c r="K116" s="427">
        <v>42552</v>
      </c>
      <c r="L116" s="428" t="s">
        <v>389</v>
      </c>
      <c r="M116" s="113" t="s">
        <v>472</v>
      </c>
      <c r="N116" s="430">
        <v>1386.38</v>
      </c>
      <c r="O116" s="23"/>
    </row>
    <row r="117" spans="10:15" ht="12.75">
      <c r="J117" s="23"/>
      <c r="K117" s="427">
        <v>42583</v>
      </c>
      <c r="L117" s="428"/>
      <c r="M117" s="429" t="s">
        <v>529</v>
      </c>
      <c r="N117" s="430">
        <v>320</v>
      </c>
      <c r="O117" s="23"/>
    </row>
    <row r="118" spans="10:15" ht="12.75">
      <c r="J118" s="23"/>
      <c r="K118" s="427">
        <v>42644</v>
      </c>
      <c r="L118" s="428"/>
      <c r="M118" s="429" t="s">
        <v>530</v>
      </c>
      <c r="N118" s="430">
        <v>1462.96</v>
      </c>
      <c r="O118" s="23"/>
    </row>
    <row r="119" spans="10:15" ht="12.75">
      <c r="J119" s="23"/>
      <c r="K119" s="427">
        <v>42675</v>
      </c>
      <c r="L119" s="428"/>
      <c r="M119" s="429" t="s">
        <v>531</v>
      </c>
      <c r="N119" s="430">
        <v>499.39</v>
      </c>
      <c r="O119" s="23"/>
    </row>
    <row r="120" spans="10:15" ht="12.75">
      <c r="J120" s="23"/>
      <c r="K120" s="427"/>
      <c r="L120" s="428"/>
      <c r="M120" s="429"/>
      <c r="N120" s="430"/>
      <c r="O120" s="23"/>
    </row>
    <row r="121" spans="10:15" ht="12.75">
      <c r="J121" s="23"/>
      <c r="K121" s="427"/>
      <c r="L121" s="428"/>
      <c r="M121" s="429"/>
      <c r="N121" s="430"/>
      <c r="O121" s="23"/>
    </row>
    <row r="122" spans="10:15" ht="12.75">
      <c r="J122" s="23"/>
      <c r="K122" s="427"/>
      <c r="L122" s="428"/>
      <c r="M122" s="429"/>
      <c r="N122" s="430"/>
      <c r="O122" s="23"/>
    </row>
    <row r="123" spans="10:15" ht="12.75">
      <c r="J123" s="23"/>
      <c r="K123" s="427"/>
      <c r="L123" s="428"/>
      <c r="M123" s="429"/>
      <c r="N123" s="430"/>
      <c r="O123" s="23"/>
    </row>
    <row r="124" spans="10:15" ht="12.75">
      <c r="J124" s="23"/>
      <c r="K124" s="427"/>
      <c r="L124" s="428"/>
      <c r="M124" s="429"/>
      <c r="N124" s="430"/>
      <c r="O124" s="23"/>
    </row>
    <row r="125" spans="10:15" ht="12.75">
      <c r="J125" s="23"/>
      <c r="K125" s="427"/>
      <c r="L125" s="428"/>
      <c r="M125" s="429"/>
      <c r="N125" s="430"/>
      <c r="O125" s="23"/>
    </row>
    <row r="126" spans="10:15" ht="12.75">
      <c r="J126" s="23"/>
      <c r="K126" s="427"/>
      <c r="L126" s="428"/>
      <c r="M126" s="429"/>
      <c r="N126" s="430"/>
      <c r="O126" s="23"/>
    </row>
    <row r="127" spans="10:15" ht="12.75">
      <c r="J127" s="23"/>
      <c r="K127" s="427"/>
      <c r="L127" s="428"/>
      <c r="M127" s="429"/>
      <c r="N127" s="430"/>
      <c r="O127" s="23"/>
    </row>
    <row r="128" spans="10:15" ht="12.75">
      <c r="J128" s="23"/>
      <c r="K128" s="427"/>
      <c r="L128" s="428"/>
      <c r="M128" s="429"/>
      <c r="N128" s="430"/>
      <c r="O128" s="23"/>
    </row>
    <row r="129" spans="10:15" ht="12.75">
      <c r="J129" s="23"/>
      <c r="K129" s="427"/>
      <c r="L129" s="428"/>
      <c r="M129" s="429"/>
      <c r="N129" s="430"/>
      <c r="O129" s="23"/>
    </row>
    <row r="130" spans="10:15" ht="12.75">
      <c r="J130" s="23"/>
      <c r="K130" s="366"/>
      <c r="L130" s="367"/>
      <c r="M130" s="368" t="s">
        <v>335</v>
      </c>
      <c r="N130" s="371">
        <f>SUM(N93:N129)</f>
        <v>32326.77</v>
      </c>
      <c r="O130" s="23"/>
    </row>
    <row r="131" spans="11:14" ht="12.75">
      <c r="K131" s="362"/>
      <c r="L131" s="113"/>
      <c r="M131" s="113"/>
      <c r="N131" s="363"/>
    </row>
    <row r="132" spans="11:14" ht="12.75">
      <c r="K132" s="362"/>
      <c r="L132" s="113"/>
      <c r="M132" s="113"/>
      <c r="N132" s="363"/>
    </row>
    <row r="133" spans="11:14" ht="12.75">
      <c r="K133" s="362"/>
      <c r="L133" s="113"/>
      <c r="M133" s="113"/>
      <c r="N133" s="363"/>
    </row>
    <row r="134" spans="11:14" ht="12.75">
      <c r="K134" s="362"/>
      <c r="L134" s="113"/>
      <c r="M134" s="113"/>
      <c r="N134" s="363"/>
    </row>
    <row r="135" spans="11:14" ht="12.75">
      <c r="K135" s="362"/>
      <c r="L135" s="113"/>
      <c r="M135" s="113"/>
      <c r="N135" s="363"/>
    </row>
    <row r="136" spans="11:14" ht="12.75">
      <c r="K136" s="362"/>
      <c r="L136" s="113"/>
      <c r="M136" s="113"/>
      <c r="N136" s="363"/>
    </row>
    <row r="137" spans="11:14" ht="12.75">
      <c r="K137" s="362"/>
      <c r="L137" s="113"/>
      <c r="M137" s="113"/>
      <c r="N137" s="363"/>
    </row>
    <row r="138" spans="11:14" ht="12.75">
      <c r="K138" s="362"/>
      <c r="L138" s="113"/>
      <c r="M138" s="113"/>
      <c r="N138" s="363"/>
    </row>
    <row r="139" spans="11:14" ht="12.75">
      <c r="K139" s="362"/>
      <c r="L139" s="113"/>
      <c r="M139" s="113"/>
      <c r="N139" s="363"/>
    </row>
    <row r="140" spans="11:14" ht="12.75">
      <c r="K140" s="362"/>
      <c r="L140" s="113"/>
      <c r="M140" s="113"/>
      <c r="N140" s="363"/>
    </row>
    <row r="141" spans="11:14" ht="12.75">
      <c r="K141" s="362"/>
      <c r="L141" s="113"/>
      <c r="M141" s="113"/>
      <c r="N141" s="363"/>
    </row>
    <row r="142" spans="11:14" ht="12.75">
      <c r="K142" s="362"/>
      <c r="L142" s="113"/>
      <c r="M142" s="113"/>
      <c r="N142" s="363"/>
    </row>
    <row r="143" spans="11:14" ht="12.75">
      <c r="K143" s="362"/>
      <c r="L143" s="113"/>
      <c r="M143" s="113"/>
      <c r="N143" s="363"/>
    </row>
    <row r="144" spans="11:14" ht="12.75">
      <c r="K144" s="362"/>
      <c r="L144" s="113"/>
      <c r="M144" s="113"/>
      <c r="N144" s="363"/>
    </row>
    <row r="145" spans="11:14" ht="12.75">
      <c r="K145" s="362"/>
      <c r="L145" s="113"/>
      <c r="M145" s="113"/>
      <c r="N145" s="363"/>
    </row>
    <row r="146" spans="11:14" ht="12.75">
      <c r="K146" s="362"/>
      <c r="L146" s="113"/>
      <c r="M146" s="113"/>
      <c r="N146" s="363"/>
    </row>
    <row r="147" spans="11:14" ht="12.75">
      <c r="K147" s="362"/>
      <c r="L147" s="113"/>
      <c r="M147" s="113"/>
      <c r="N147" s="363"/>
    </row>
  </sheetData>
  <sheetProtection/>
  <mergeCells count="3">
    <mergeCell ref="A37:B37"/>
    <mergeCell ref="A38:B38"/>
    <mergeCell ref="A39:B39"/>
  </mergeCells>
  <printOptions gridLines="1" headings="1" horizontalCentered="1"/>
  <pageMargins left="0.23" right="0.2" top="0.5" bottom="0.56" header="0.5" footer="0.5"/>
  <pageSetup horizontalDpi="600" verticalDpi="600" orientation="landscape" paperSize="3" scale="52"/>
  <headerFooter alignWithMargins="0">
    <oddFooter>&amp;R&amp;K000000&amp;F</oddFooter>
  </headerFooter>
  <rowBreaks count="1" manualBreakCount="1">
    <brk id="130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5"/>
  <sheetViews>
    <sheetView zoomScale="90" zoomScaleNormal="90" zoomScalePageLayoutView="0" workbookViewId="0" topLeftCell="A1">
      <selection activeCell="A22" sqref="A22"/>
    </sheetView>
  </sheetViews>
  <sheetFormatPr defaultColWidth="8.8515625" defaultRowHeight="12.75"/>
  <cols>
    <col min="1" max="1" width="42.00390625" style="0" customWidth="1"/>
    <col min="2" max="3" width="13.140625" style="0" customWidth="1"/>
    <col min="4" max="4" width="14.421875" style="0" customWidth="1"/>
    <col min="5" max="5" width="19.8515625" style="0" customWidth="1"/>
  </cols>
  <sheetData>
    <row r="1" ht="23.25">
      <c r="A1" s="29" t="s">
        <v>198</v>
      </c>
    </row>
    <row r="2" ht="12.75" customHeight="1">
      <c r="A2" s="29"/>
    </row>
    <row r="3" ht="12.75">
      <c r="A3" t="s">
        <v>195</v>
      </c>
    </row>
    <row r="4" ht="12.75">
      <c r="A4" t="s">
        <v>186</v>
      </c>
    </row>
    <row r="5" ht="12.75">
      <c r="A5" t="s">
        <v>187</v>
      </c>
    </row>
    <row r="6" ht="12.75">
      <c r="A6" s="5" t="s">
        <v>275</v>
      </c>
    </row>
    <row r="8" ht="12.75">
      <c r="A8" s="5" t="s">
        <v>235</v>
      </c>
    </row>
    <row r="9" ht="12.75">
      <c r="A9" t="s">
        <v>196</v>
      </c>
    </row>
    <row r="10" ht="12.75">
      <c r="A10" t="s">
        <v>197</v>
      </c>
    </row>
    <row r="12" ht="12.75">
      <c r="A12" s="5" t="s">
        <v>190</v>
      </c>
    </row>
    <row r="13" ht="12.75">
      <c r="A13" s="5" t="s">
        <v>192</v>
      </c>
    </row>
    <row r="14" ht="12.75">
      <c r="A14" s="5" t="s">
        <v>193</v>
      </c>
    </row>
    <row r="15" ht="12.75">
      <c r="A15" t="s">
        <v>191</v>
      </c>
    </row>
    <row r="16" ht="12.75">
      <c r="A16" s="113" t="s">
        <v>194</v>
      </c>
    </row>
    <row r="17" spans="1:2" ht="12.75">
      <c r="A17" s="47"/>
      <c r="B17" s="116"/>
    </row>
    <row r="18" spans="1:5" ht="12.75">
      <c r="A18" s="47"/>
      <c r="B18" s="140" t="s">
        <v>227</v>
      </c>
      <c r="C18" s="118" t="s">
        <v>228</v>
      </c>
      <c r="D18" s="118" t="s">
        <v>169</v>
      </c>
      <c r="E18" s="118" t="s">
        <v>230</v>
      </c>
    </row>
    <row r="19" spans="1:5" ht="12.75">
      <c r="A19" s="47" t="s">
        <v>231</v>
      </c>
      <c r="B19" s="472">
        <v>11200</v>
      </c>
      <c r="C19" s="363">
        <v>0</v>
      </c>
      <c r="D19" s="363">
        <f>B19+C19</f>
        <v>11200</v>
      </c>
      <c r="E19" s="478">
        <v>38718</v>
      </c>
    </row>
    <row r="20" spans="1:5" ht="12.75">
      <c r="A20" s="47" t="s">
        <v>229</v>
      </c>
      <c r="B20" s="472">
        <v>0</v>
      </c>
      <c r="C20" s="363">
        <v>-919.72</v>
      </c>
      <c r="D20" s="363">
        <f>D19+B20+C20</f>
        <v>10280.28</v>
      </c>
      <c r="E20" s="478">
        <v>39006</v>
      </c>
    </row>
    <row r="21" spans="1:5" ht="12.75">
      <c r="A21" s="47"/>
      <c r="B21" s="472">
        <v>0</v>
      </c>
      <c r="C21" s="363">
        <v>-566</v>
      </c>
      <c r="D21" s="363">
        <f>D20+B21+C21</f>
        <v>9714.28</v>
      </c>
      <c r="E21" s="478" t="s">
        <v>431</v>
      </c>
    </row>
    <row r="22" spans="1:5" ht="12.75">
      <c r="A22" s="47"/>
      <c r="B22" s="476">
        <v>566</v>
      </c>
      <c r="C22" s="477">
        <v>0</v>
      </c>
      <c r="D22" s="363">
        <f>D21+B22+C22</f>
        <v>10280.28</v>
      </c>
      <c r="E22" s="113" t="s">
        <v>432</v>
      </c>
    </row>
    <row r="23" spans="1:4" ht="12.75">
      <c r="A23" s="47"/>
      <c r="B23" s="477"/>
      <c r="C23" s="477"/>
      <c r="D23" s="477"/>
    </row>
    <row r="24" spans="1:4" ht="12.75">
      <c r="A24" s="47"/>
      <c r="B24" s="477"/>
      <c r="C24" s="477"/>
      <c r="D24" s="477"/>
    </row>
    <row r="25" ht="12.75">
      <c r="A25" s="113"/>
    </row>
    <row r="26" ht="12.75">
      <c r="A26" s="113"/>
    </row>
    <row r="27" ht="12.75">
      <c r="A27" s="113"/>
    </row>
    <row r="28" ht="12.75">
      <c r="A28" s="113"/>
    </row>
    <row r="29" ht="12.75">
      <c r="A29" s="113"/>
    </row>
    <row r="30" ht="12.75">
      <c r="A30" s="113"/>
    </row>
    <row r="31" ht="12.75">
      <c r="A31" s="113"/>
    </row>
    <row r="32" ht="12.75">
      <c r="A32" s="47"/>
    </row>
    <row r="33" ht="12.75">
      <c r="A33" s="113"/>
    </row>
    <row r="34" ht="12.75">
      <c r="A34" s="113"/>
    </row>
    <row r="35" ht="12.75">
      <c r="A35" s="113"/>
    </row>
  </sheetData>
  <sheetProtection/>
  <printOptions horizontalCentered="1"/>
  <pageMargins left="0.75" right="0.75" top="1" bottom="1" header="0.5" footer="0.5"/>
  <pageSetup fitToHeight="1" fitToWidth="1" orientation="landscape" scale="62"/>
  <headerFooter alignWithMargins="0">
    <oddFooter>&amp;R&amp;K000000&amp;F</oddFooter>
  </headerFooter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73"/>
  <sheetViews>
    <sheetView zoomScale="90" zoomScaleNormal="90" zoomScalePageLayoutView="0" workbookViewId="0" topLeftCell="A10">
      <selection activeCell="D29" sqref="D29"/>
    </sheetView>
  </sheetViews>
  <sheetFormatPr defaultColWidth="8.8515625" defaultRowHeight="12.75"/>
  <cols>
    <col min="1" max="1" width="35.8515625" style="0" customWidth="1"/>
    <col min="2" max="2" width="12.7109375" style="0" customWidth="1"/>
    <col min="3" max="3" width="12.140625" style="0" customWidth="1"/>
    <col min="4" max="4" width="12.7109375" style="0" customWidth="1"/>
    <col min="5" max="5" width="28.8515625" style="0" customWidth="1"/>
  </cols>
  <sheetData>
    <row r="1" ht="23.25">
      <c r="A1" s="29" t="s">
        <v>189</v>
      </c>
    </row>
    <row r="3" ht="12.75">
      <c r="A3" s="5" t="s">
        <v>277</v>
      </c>
    </row>
    <row r="4" ht="12.75">
      <c r="A4" s="5" t="s">
        <v>278</v>
      </c>
    </row>
    <row r="5" ht="12.75">
      <c r="A5" s="5"/>
    </row>
    <row r="6" ht="12.75">
      <c r="A6" s="5" t="s">
        <v>261</v>
      </c>
    </row>
    <row r="7" ht="12.75">
      <c r="A7" s="5" t="s">
        <v>262</v>
      </c>
    </row>
    <row r="8" ht="12.75">
      <c r="A8" t="s">
        <v>252</v>
      </c>
    </row>
    <row r="10" spans="1:4" ht="12.75">
      <c r="A10" s="151" t="s">
        <v>315</v>
      </c>
      <c r="B10" s="168"/>
      <c r="C10" s="168"/>
      <c r="D10" s="168"/>
    </row>
    <row r="11" spans="1:4" ht="12.75">
      <c r="A11" s="151"/>
      <c r="B11" s="168"/>
      <c r="C11" s="168"/>
      <c r="D11" s="168"/>
    </row>
    <row r="12" spans="1:4" ht="12.75">
      <c r="A12" s="151" t="s">
        <v>418</v>
      </c>
      <c r="B12" s="168"/>
      <c r="C12" s="168"/>
      <c r="D12" s="168"/>
    </row>
    <row r="14" spans="2:5" ht="25.5">
      <c r="B14" s="32" t="s">
        <v>226</v>
      </c>
      <c r="C14" s="44" t="s">
        <v>176</v>
      </c>
      <c r="D14" s="44" t="s">
        <v>169</v>
      </c>
      <c r="E14" s="44" t="s">
        <v>347</v>
      </c>
    </row>
    <row r="15" spans="1:5" ht="12.75">
      <c r="A15" s="47" t="s">
        <v>201</v>
      </c>
      <c r="B15" s="370"/>
      <c r="C15" s="370"/>
      <c r="D15" s="370">
        <v>4368</v>
      </c>
      <c r="E15" s="361"/>
    </row>
    <row r="16" spans="1:5" ht="12.75">
      <c r="A16" s="47">
        <v>2005</v>
      </c>
      <c r="B16" s="370">
        <v>3263</v>
      </c>
      <c r="C16" s="370">
        <v>0</v>
      </c>
      <c r="D16" s="370">
        <f aca="true" t="shared" si="0" ref="D16:D22">D15+B16+C16</f>
        <v>7631</v>
      </c>
      <c r="E16" s="361"/>
    </row>
    <row r="17" spans="1:5" ht="12.75">
      <c r="A17" s="47">
        <v>2006</v>
      </c>
      <c r="B17" s="370">
        <v>5948.38</v>
      </c>
      <c r="C17" s="370">
        <v>0</v>
      </c>
      <c r="D17" s="370">
        <f t="shared" si="0"/>
        <v>13579.380000000001</v>
      </c>
      <c r="E17" s="361"/>
    </row>
    <row r="18" spans="1:5" ht="12.75">
      <c r="A18" s="47">
        <v>2007</v>
      </c>
      <c r="B18" s="370">
        <v>0</v>
      </c>
      <c r="C18" s="370">
        <v>-13579.38</v>
      </c>
      <c r="D18" s="370">
        <f t="shared" si="0"/>
        <v>0</v>
      </c>
      <c r="E18" s="361"/>
    </row>
    <row r="19" spans="1:5" ht="12.75">
      <c r="A19" s="46">
        <v>2008</v>
      </c>
      <c r="B19" s="370">
        <v>0</v>
      </c>
      <c r="C19" s="370">
        <v>0</v>
      </c>
      <c r="D19" s="370">
        <f t="shared" si="0"/>
        <v>0</v>
      </c>
      <c r="E19" s="361"/>
    </row>
    <row r="20" spans="1:5" ht="12.75">
      <c r="A20" s="46">
        <v>2009</v>
      </c>
      <c r="B20" s="370">
        <v>3409.48</v>
      </c>
      <c r="C20" s="370">
        <v>0</v>
      </c>
      <c r="D20" s="370">
        <f t="shared" si="0"/>
        <v>3409.48</v>
      </c>
      <c r="E20" s="361"/>
    </row>
    <row r="21" spans="1:5" ht="12.75">
      <c r="A21" s="46">
        <v>2010</v>
      </c>
      <c r="B21" s="370">
        <v>5114.49</v>
      </c>
      <c r="C21" s="370">
        <v>0</v>
      </c>
      <c r="D21" s="370">
        <f t="shared" si="0"/>
        <v>8523.97</v>
      </c>
      <c r="E21" s="361"/>
    </row>
    <row r="22" spans="1:5" ht="12.75">
      <c r="A22" s="14">
        <v>2011</v>
      </c>
      <c r="B22" s="430">
        <v>3179.83</v>
      </c>
      <c r="C22" s="430">
        <v>-208.95</v>
      </c>
      <c r="D22" s="430">
        <f t="shared" si="0"/>
        <v>11494.849999999999</v>
      </c>
      <c r="E22" s="113" t="s">
        <v>493</v>
      </c>
    </row>
    <row r="23" spans="1:5" ht="12.75">
      <c r="A23" s="46">
        <v>2012</v>
      </c>
      <c r="B23" s="430">
        <v>0</v>
      </c>
      <c r="C23" s="430">
        <v>-4982.62</v>
      </c>
      <c r="D23" s="430">
        <f aca="true" t="shared" si="1" ref="D23:D28">D22+B23+C23</f>
        <v>6512.229999999999</v>
      </c>
      <c r="E23" s="113" t="s">
        <v>492</v>
      </c>
    </row>
    <row r="24" spans="1:5" ht="12.75">
      <c r="A24" s="47">
        <v>2013</v>
      </c>
      <c r="B24" s="430">
        <v>1460.74</v>
      </c>
      <c r="C24" s="430">
        <v>-542.84</v>
      </c>
      <c r="D24" s="430">
        <f t="shared" si="1"/>
        <v>7430.129999999998</v>
      </c>
      <c r="E24" s="113" t="s">
        <v>491</v>
      </c>
    </row>
    <row r="25" spans="1:5" ht="12.75">
      <c r="A25" s="47">
        <v>2014</v>
      </c>
      <c r="B25" s="430">
        <v>0</v>
      </c>
      <c r="C25" s="430">
        <v>-1926.34</v>
      </c>
      <c r="D25" s="430">
        <f t="shared" si="1"/>
        <v>5503.789999999998</v>
      </c>
      <c r="E25" s="113" t="s">
        <v>490</v>
      </c>
    </row>
    <row r="26" spans="1:5" ht="12.75">
      <c r="A26" s="47">
        <v>2015</v>
      </c>
      <c r="B26" s="430">
        <v>936.94</v>
      </c>
      <c r="C26" s="430">
        <f>-(385.83+372.76+74.87+144.91)</f>
        <v>-978.3699999999999</v>
      </c>
      <c r="D26" s="430">
        <f t="shared" si="1"/>
        <v>5462.359999999998</v>
      </c>
      <c r="E26" s="113" t="s">
        <v>497</v>
      </c>
    </row>
    <row r="27" spans="1:5" ht="12.75">
      <c r="A27" s="47">
        <v>2016</v>
      </c>
      <c r="B27" s="430">
        <v>1772.62</v>
      </c>
      <c r="C27" s="430">
        <f>-(28+328.89+748.6+1070)</f>
        <v>-2175.49</v>
      </c>
      <c r="D27" s="430">
        <f t="shared" si="1"/>
        <v>5059.489999999998</v>
      </c>
      <c r="E27" s="429" t="s">
        <v>532</v>
      </c>
    </row>
    <row r="28" spans="1:5" ht="12.75">
      <c r="A28" s="47" t="s">
        <v>523</v>
      </c>
      <c r="B28" s="430">
        <v>0</v>
      </c>
      <c r="C28" s="653">
        <v>-500</v>
      </c>
      <c r="D28" s="430">
        <f t="shared" si="1"/>
        <v>4559.489999999998</v>
      </c>
      <c r="E28" s="168"/>
    </row>
    <row r="29" spans="1:4" ht="12.75">
      <c r="A29" s="47" t="s">
        <v>524</v>
      </c>
      <c r="B29" s="430">
        <v>0</v>
      </c>
      <c r="C29" s="430">
        <v>0</v>
      </c>
      <c r="D29" s="430">
        <f>D28+B29+C29</f>
        <v>4559.489999999998</v>
      </c>
    </row>
    <row r="30" spans="1:7" ht="12.75">
      <c r="A30" s="47"/>
      <c r="B30" s="117"/>
      <c r="F30" s="681"/>
      <c r="G30" s="15" t="s">
        <v>543</v>
      </c>
    </row>
    <row r="31" spans="1:2" ht="12.75">
      <c r="A31" s="47"/>
      <c r="B31" s="117"/>
    </row>
    <row r="32" spans="1:2" ht="12.75">
      <c r="A32" s="47"/>
      <c r="B32" s="117"/>
    </row>
    <row r="33" spans="1:2" ht="12.75">
      <c r="A33" s="47"/>
      <c r="B33" s="117"/>
    </row>
    <row r="34" spans="1:2" ht="12.75">
      <c r="A34" s="234" t="s">
        <v>374</v>
      </c>
      <c r="B34" s="117"/>
    </row>
    <row r="35" spans="1:2" ht="12.75">
      <c r="A35" s="47"/>
      <c r="B35" s="117"/>
    </row>
    <row r="37" spans="1:4" ht="12.75">
      <c r="A37" s="151" t="s">
        <v>311</v>
      </c>
      <c r="B37" s="168"/>
      <c r="C37" s="168"/>
      <c r="D37" s="168"/>
    </row>
    <row r="38" spans="1:4" ht="12.75">
      <c r="A38" s="168" t="s">
        <v>290</v>
      </c>
      <c r="B38" s="168"/>
      <c r="C38" s="168"/>
      <c r="D38" s="168"/>
    </row>
    <row r="39" spans="1:4" ht="12.75">
      <c r="A39" s="151" t="s">
        <v>312</v>
      </c>
      <c r="B39" s="168"/>
      <c r="C39" s="168"/>
      <c r="D39" s="168"/>
    </row>
    <row r="40" spans="1:4" ht="12.75">
      <c r="A40" s="151" t="s">
        <v>313</v>
      </c>
      <c r="B40" s="168"/>
      <c r="C40" s="168"/>
      <c r="D40" s="168"/>
    </row>
    <row r="41" spans="1:4" ht="12.75">
      <c r="A41" s="151" t="s">
        <v>314</v>
      </c>
      <c r="B41" s="168"/>
      <c r="C41" s="168"/>
      <c r="D41" s="168"/>
    </row>
    <row r="43" ht="12.75">
      <c r="A43" t="s">
        <v>393</v>
      </c>
    </row>
    <row r="45" ht="12.75">
      <c r="A45" t="s">
        <v>394</v>
      </c>
    </row>
    <row r="47" ht="12.75">
      <c r="A47" t="s">
        <v>404</v>
      </c>
    </row>
    <row r="49" ht="12.75">
      <c r="A49" t="s">
        <v>405</v>
      </c>
    </row>
    <row r="51" ht="63.75">
      <c r="A51" s="459" t="s">
        <v>433</v>
      </c>
    </row>
    <row r="52" ht="12.75">
      <c r="A52" t="s">
        <v>407</v>
      </c>
    </row>
    <row r="53" ht="12.75">
      <c r="A53" t="s">
        <v>408</v>
      </c>
    </row>
    <row r="54" ht="12.75">
      <c r="A54" t="s">
        <v>409</v>
      </c>
    </row>
    <row r="55" ht="12.75">
      <c r="A55" t="s">
        <v>410</v>
      </c>
    </row>
    <row r="56" ht="12.75">
      <c r="A56" t="s">
        <v>411</v>
      </c>
    </row>
    <row r="57" ht="12.75">
      <c r="A57" t="s">
        <v>412</v>
      </c>
    </row>
    <row r="58" ht="12.75">
      <c r="A58" t="s">
        <v>413</v>
      </c>
    </row>
    <row r="59" ht="12.75">
      <c r="A59" s="5" t="s">
        <v>414</v>
      </c>
    </row>
    <row r="60" ht="12.75">
      <c r="A60" s="5" t="s">
        <v>415</v>
      </c>
    </row>
    <row r="61" ht="12.75">
      <c r="A61" s="5" t="s">
        <v>416</v>
      </c>
    </row>
    <row r="62" ht="12.75">
      <c r="A62" s="5" t="s">
        <v>417</v>
      </c>
    </row>
    <row r="63" ht="12.75">
      <c r="A63" s="650" t="s">
        <v>544</v>
      </c>
    </row>
    <row r="64" ht="12.75">
      <c r="A64" s="5"/>
    </row>
    <row r="65" ht="12.75">
      <c r="A65" s="5"/>
    </row>
    <row r="67" ht="12.75">
      <c r="A67" s="113" t="s">
        <v>434</v>
      </c>
    </row>
    <row r="69" ht="12.75">
      <c r="A69" t="s">
        <v>470</v>
      </c>
    </row>
    <row r="70" ht="12.75">
      <c r="A70" t="s">
        <v>471</v>
      </c>
    </row>
    <row r="71" ht="12.75">
      <c r="A71" t="s">
        <v>495</v>
      </c>
    </row>
    <row r="72" spans="1:7" ht="12.75">
      <c r="A72" s="168" t="s">
        <v>514</v>
      </c>
      <c r="B72" s="168"/>
      <c r="C72" s="168"/>
      <c r="D72" s="168"/>
      <c r="E72" s="168"/>
      <c r="F72" s="168"/>
      <c r="G72" s="168"/>
    </row>
    <row r="73" ht="12.75">
      <c r="A73" s="168" t="s">
        <v>545</v>
      </c>
    </row>
  </sheetData>
  <sheetProtection/>
  <printOptions horizontalCentered="1"/>
  <pageMargins left="0.75" right="0.75" top="1" bottom="1" header="0.5" footer="0.5"/>
  <pageSetup fitToHeight="1" fitToWidth="1" orientation="landscape" scale="60"/>
  <headerFooter alignWithMargins="0">
    <oddFooter>&amp;R&amp;K000000&amp;F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Schuele, Frederik</cp:lastModifiedBy>
  <cp:lastPrinted>2016-08-25T11:33:57Z</cp:lastPrinted>
  <dcterms:created xsi:type="dcterms:W3CDTF">2002-10-01T18:14:46Z</dcterms:created>
  <dcterms:modified xsi:type="dcterms:W3CDTF">2017-11-19T23:53:40Z</dcterms:modified>
  <cp:category/>
  <cp:version/>
  <cp:contentType/>
  <cp:contentStatus/>
  <cp:revision>1</cp:revision>
</cp:coreProperties>
</file>